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05" yWindow="-105" windowWidth="19425" windowHeight="10425" tabRatio="905" firstSheet="2" activeTab="9"/>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details'!$A$1:$Z$114</definedName>
    <definedName name="_xlnm.Print_Area" localSheetId="11">'11.F&amp;V Crop Production details'!$A$1:$Z$127</definedName>
    <definedName name="_xlnm.Print_Area" localSheetId="12">'12.Facility 1 - Trading'!$A$1:$J$305</definedName>
    <definedName name="_xlnm.Print_Area" localSheetId="13">'13.Facility 2 Grain Processing'!$A$3:$J$184</definedName>
    <definedName name="_xlnm.Print_Area" localSheetId="14">'14. Facility 3 Warehouse'!$A$1:$K$49</definedName>
    <definedName name="_xlnm.Print_Area" localSheetId="15">'15. Facility 4 Custom Hiring'!$A$1:$U$62</definedName>
    <definedName name="_xlnm.Print_Area" localSheetId="16">'16.Facility 5 Agri Input'!$A$1:$J$280</definedName>
    <definedName name="_xlnm.Print_Area" localSheetId="17">'17.Facility 6 Horti Processing '!$A$1:$J$161</definedName>
    <definedName name="_xlnm.Print_Area" localSheetId="2">'2.Capex Details'!$A$1:$H$107</definedName>
    <definedName name="_xlnm.Print_Area" localSheetId="3">'3.Other Exp &amp; Taxes'!$A$1:$S$103</definedName>
    <definedName name="_xlnm.Print_Area" localSheetId="4">'4.TL repayment sch'!$A$1:$H$95</definedName>
    <definedName name="_xlnm.Print_Area" localSheetId="5">'5.Closing Stock &amp; W Capital'!$A$1:$L$59</definedName>
    <definedName name="_xlnm.Print_Area" localSheetId="6">'6.Cons Profit &amp; Loss'!$A$1:$I$55</definedName>
    <definedName name="_xlnm.Print_Area" localSheetId="7">'7.Balance Sheet'!$A$1:$I$50</definedName>
    <definedName name="_xlnm.Print_Area" localSheetId="8">'8.Cash Flow '!$A$1:$J$35</definedName>
    <definedName name="_xlnm.Print_Area" localSheetId="9">'9. Financial indiacators'!$B$1:$M$184</definedName>
  </definedNames>
  <calcPr calcId="144525"/>
</workbook>
</file>

<file path=xl/calcChain.xml><?xml version="1.0" encoding="utf-8"?>
<calcChain xmlns="http://schemas.openxmlformats.org/spreadsheetml/2006/main">
  <c r="I194" i="29" l="1"/>
  <c r="H194" i="29"/>
  <c r="G194" i="29"/>
  <c r="F194" i="29"/>
  <c r="E194" i="29"/>
  <c r="D194" i="29"/>
  <c r="C194" i="29"/>
  <c r="I193" i="29"/>
  <c r="H193" i="29"/>
  <c r="G193" i="29"/>
  <c r="F193" i="29"/>
  <c r="E193" i="29"/>
  <c r="D193" i="29"/>
  <c r="C193" i="29"/>
  <c r="K11" i="22" l="1"/>
  <c r="J11" i="22"/>
  <c r="I11" i="22"/>
  <c r="H11" i="22"/>
  <c r="G11" i="22"/>
  <c r="F11" i="22"/>
  <c r="E11" i="22"/>
  <c r="F295" i="55"/>
  <c r="G295" i="55" s="1"/>
  <c r="H295" i="55" s="1"/>
  <c r="I295" i="55" s="1"/>
  <c r="J295" i="55" s="1"/>
  <c r="E295" i="55"/>
  <c r="D295" i="55"/>
  <c r="J10" i="22"/>
  <c r="I10" i="22"/>
  <c r="H10" i="22"/>
  <c r="G10" i="22"/>
  <c r="F10" i="22"/>
  <c r="E10" i="22"/>
  <c r="C139" i="72" l="1"/>
  <c r="G43" i="57"/>
  <c r="G42" i="57"/>
  <c r="G41" i="57"/>
  <c r="G40" i="57"/>
  <c r="G39" i="57"/>
  <c r="G38" i="57"/>
  <c r="G37" i="57"/>
  <c r="G36" i="57"/>
  <c r="G35" i="57"/>
  <c r="G34" i="57"/>
  <c r="K62" i="22" l="1"/>
  <c r="K61" i="22"/>
  <c r="K60" i="22"/>
  <c r="K59" i="22"/>
  <c r="E21" i="22" l="1"/>
  <c r="B21" i="21"/>
  <c r="F75" i="57"/>
  <c r="E8" i="22"/>
  <c r="B7" i="81" l="1"/>
  <c r="B9" i="81" s="1"/>
  <c r="E22" i="22"/>
  <c r="E20" i="22"/>
  <c r="E19" i="22"/>
  <c r="E18" i="22"/>
  <c r="E17" i="22"/>
  <c r="B9" i="68"/>
  <c r="F5" i="62"/>
  <c r="F6" i="62"/>
  <c r="F8" i="62"/>
  <c r="F10" i="62"/>
  <c r="H30" i="57"/>
  <c r="B158" i="72" s="1"/>
  <c r="O11" i="61" s="1"/>
  <c r="G6" i="57"/>
  <c r="G7" i="57"/>
  <c r="G8" i="57"/>
  <c r="G9" i="57"/>
  <c r="G10" i="57"/>
  <c r="G11" i="57"/>
  <c r="G21" i="57"/>
  <c r="G22" i="57"/>
  <c r="G23" i="57"/>
  <c r="G24" i="57"/>
  <c r="G27" i="57"/>
  <c r="G28" i="57"/>
  <c r="G29" i="57"/>
  <c r="G32" i="57"/>
  <c r="G33" i="57"/>
  <c r="G44" i="57"/>
  <c r="G47" i="57"/>
  <c r="G48" i="57"/>
  <c r="G49" i="57"/>
  <c r="F61" i="57"/>
  <c r="F62" i="57"/>
  <c r="F63" i="57"/>
  <c r="F64" i="57"/>
  <c r="F65" i="57"/>
  <c r="F66" i="57"/>
  <c r="F76" i="57"/>
  <c r="F77" i="57"/>
  <c r="F78" i="57"/>
  <c r="F79" i="57"/>
  <c r="F80" i="57"/>
  <c r="F89" i="57"/>
  <c r="F90" i="57"/>
  <c r="F91" i="57"/>
  <c r="D104" i="57"/>
  <c r="B5" i="72"/>
  <c r="B34" i="72"/>
  <c r="H45" i="57"/>
  <c r="B283" i="55" s="1"/>
  <c r="B32" i="55"/>
  <c r="B5" i="55"/>
  <c r="B63" i="55"/>
  <c r="B89" i="55"/>
  <c r="B141" i="55" s="1"/>
  <c r="D199" i="55" s="1"/>
  <c r="B7" i="83"/>
  <c r="B9" i="83"/>
  <c r="C23" i="83" s="1"/>
  <c r="D14" i="83"/>
  <c r="F14" i="83"/>
  <c r="H14" i="83" s="1"/>
  <c r="B46" i="83" s="1"/>
  <c r="D16" i="83"/>
  <c r="F16" i="83"/>
  <c r="H16" i="83" s="1"/>
  <c r="D21" i="83"/>
  <c r="F21" i="83" s="1"/>
  <c r="H21" i="83" s="1"/>
  <c r="B53" i="83"/>
  <c r="B42" i="55" s="1"/>
  <c r="B99" i="55" s="1"/>
  <c r="D264" i="55" s="1"/>
  <c r="D22" i="83"/>
  <c r="F22" i="83" s="1"/>
  <c r="H22" i="83" s="1"/>
  <c r="D255" i="55"/>
  <c r="D279" i="55"/>
  <c r="D280" i="55"/>
  <c r="H50" i="57"/>
  <c r="B135" i="84" s="1"/>
  <c r="B81" i="83"/>
  <c r="B20" i="84" s="1"/>
  <c r="C32" i="83"/>
  <c r="B41" i="84"/>
  <c r="B102" i="83"/>
  <c r="C33" i="53" s="1"/>
  <c r="C86" i="53" s="1"/>
  <c r="D154" i="53" s="1"/>
  <c r="B104" i="83"/>
  <c r="C35" i="53"/>
  <c r="C88" i="53" s="1"/>
  <c r="D223" i="53" s="1"/>
  <c r="B109" i="83"/>
  <c r="C40" i="53"/>
  <c r="C93" i="53" s="1"/>
  <c r="B110" i="83"/>
  <c r="C41" i="53" s="1"/>
  <c r="C94" i="53" s="1"/>
  <c r="D162" i="53" s="1"/>
  <c r="B113" i="81"/>
  <c r="C30" i="53"/>
  <c r="C83" i="53"/>
  <c r="C31" i="53"/>
  <c r="C84" i="53"/>
  <c r="D221" i="53"/>
  <c r="D229" i="53"/>
  <c r="D218" i="53"/>
  <c r="D205" i="53"/>
  <c r="D214" i="53"/>
  <c r="D219" i="53"/>
  <c r="D243" i="53"/>
  <c r="D156" i="53"/>
  <c r="D151" i="53"/>
  <c r="D152" i="53"/>
  <c r="B151" i="55"/>
  <c r="D210" i="55" s="1"/>
  <c r="B162" i="55"/>
  <c r="D221" i="55"/>
  <c r="B163" i="55"/>
  <c r="D222" i="55" s="1"/>
  <c r="B164" i="55"/>
  <c r="D223" i="55"/>
  <c r="C140" i="72"/>
  <c r="C141" i="72"/>
  <c r="C142" i="72"/>
  <c r="B10" i="42"/>
  <c r="D21" i="42" s="1"/>
  <c r="D23" i="42" s="1"/>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5" i="61"/>
  <c r="D27" i="42"/>
  <c r="D28" i="42"/>
  <c r="D29" i="42"/>
  <c r="J8" i="48"/>
  <c r="J9" i="48"/>
  <c r="J10" i="48"/>
  <c r="J11" i="48"/>
  <c r="J12" i="48"/>
  <c r="J13" i="48"/>
  <c r="J14" i="48"/>
  <c r="J15" i="48"/>
  <c r="J16" i="48"/>
  <c r="J17" i="48"/>
  <c r="C43" i="48"/>
  <c r="E43" i="48"/>
  <c r="M8" i="48"/>
  <c r="M9" i="48"/>
  <c r="M10" i="48"/>
  <c r="M11" i="48"/>
  <c r="M12" i="48"/>
  <c r="M13" i="48"/>
  <c r="M14" i="48"/>
  <c r="M15" i="48"/>
  <c r="M16" i="48"/>
  <c r="M17" i="48"/>
  <c r="C44" i="48"/>
  <c r="E44" i="48"/>
  <c r="E49" i="48"/>
  <c r="E48" i="61"/>
  <c r="C35" i="22"/>
  <c r="C36" i="22" s="1"/>
  <c r="C41" i="22"/>
  <c r="C42" i="22" s="1"/>
  <c r="C59" i="22"/>
  <c r="C60" i="22" s="1"/>
  <c r="E9" i="22"/>
  <c r="E12" i="22"/>
  <c r="E13" i="22"/>
  <c r="E14" i="22"/>
  <c r="E15" i="22"/>
  <c r="E16" i="22"/>
  <c r="D294" i="55"/>
  <c r="D298" i="55" s="1"/>
  <c r="B28" i="21" s="1"/>
  <c r="D172" i="72"/>
  <c r="D177" i="72" s="1"/>
  <c r="B29" i="21" s="1"/>
  <c r="D37" i="42"/>
  <c r="E52" i="48"/>
  <c r="E56" i="48"/>
  <c r="B31" i="21"/>
  <c r="D149" i="84"/>
  <c r="D150" i="84"/>
  <c r="D265" i="53"/>
  <c r="D266" i="53"/>
  <c r="D267" i="53"/>
  <c r="D268" i="53"/>
  <c r="B11" i="21"/>
  <c r="C171" i="29" s="1"/>
  <c r="C84" i="22"/>
  <c r="B43" i="21" s="1"/>
  <c r="C10" i="62"/>
  <c r="C9" i="62"/>
  <c r="C8" i="62"/>
  <c r="C7" i="62"/>
  <c r="C6" i="62"/>
  <c r="C5" i="62"/>
  <c r="C40" i="81"/>
  <c r="D40" i="81" s="1"/>
  <c r="E40" i="81" s="1"/>
  <c r="F40" i="81" s="1"/>
  <c r="G40" i="81" s="1"/>
  <c r="H40" i="81" s="1"/>
  <c r="H63" i="55"/>
  <c r="E172" i="55"/>
  <c r="F172" i="55" s="1"/>
  <c r="H32" i="55"/>
  <c r="H89" i="55" s="1"/>
  <c r="C44" i="83"/>
  <c r="D44" i="83"/>
  <c r="E44" i="83"/>
  <c r="F44" i="83"/>
  <c r="G44" i="83"/>
  <c r="H44" i="83"/>
  <c r="C53" i="83"/>
  <c r="D53" i="83" s="1"/>
  <c r="E53" i="83"/>
  <c r="F53" i="83" s="1"/>
  <c r="G53" i="83" s="1"/>
  <c r="G63" i="55"/>
  <c r="G32" i="55"/>
  <c r="G89" i="55" s="1"/>
  <c r="F63" i="55"/>
  <c r="F32" i="55"/>
  <c r="F89" i="55" s="1"/>
  <c r="F42" i="55"/>
  <c r="F99" i="55" s="1"/>
  <c r="E63" i="55"/>
  <c r="E32" i="55"/>
  <c r="E89" i="55" s="1"/>
  <c r="E42" i="55"/>
  <c r="E99" i="55" s="1"/>
  <c r="D63" i="55"/>
  <c r="D32" i="55"/>
  <c r="D89" i="55"/>
  <c r="F254" i="55" s="1"/>
  <c r="D42" i="55"/>
  <c r="D99" i="55" s="1"/>
  <c r="C63" i="55"/>
  <c r="C32" i="55"/>
  <c r="C89" i="55" s="1"/>
  <c r="E255" i="55"/>
  <c r="C42" i="55"/>
  <c r="C99" i="55" s="1"/>
  <c r="E264" i="55" s="1"/>
  <c r="E279" i="55"/>
  <c r="E280" i="55"/>
  <c r="C72" i="83"/>
  <c r="D72" i="83"/>
  <c r="E72" i="83"/>
  <c r="F72" i="83"/>
  <c r="G72" i="83"/>
  <c r="H72" i="83"/>
  <c r="E118" i="84"/>
  <c r="F118" i="84" s="1"/>
  <c r="K12" i="83"/>
  <c r="L12" i="83"/>
  <c r="M12" i="83"/>
  <c r="N12" i="83"/>
  <c r="N14" i="83"/>
  <c r="H74" i="83" s="1"/>
  <c r="H13" i="84" s="1"/>
  <c r="C81" i="83"/>
  <c r="D81" i="83"/>
  <c r="E81" i="83" s="1"/>
  <c r="E20" i="84" s="1"/>
  <c r="H31" i="84"/>
  <c r="H32" i="84"/>
  <c r="H33" i="84"/>
  <c r="M14" i="83"/>
  <c r="G74" i="83"/>
  <c r="G13" i="84" s="1"/>
  <c r="L14" i="83"/>
  <c r="F74" i="83"/>
  <c r="F13" i="84" s="1"/>
  <c r="K14" i="83"/>
  <c r="E74" i="83" s="1"/>
  <c r="E13" i="84"/>
  <c r="J14" i="83"/>
  <c r="D74" i="83"/>
  <c r="D13" i="84" s="1"/>
  <c r="D20" i="84"/>
  <c r="C74" i="83"/>
  <c r="C13" i="84"/>
  <c r="C20" i="84"/>
  <c r="C65" i="81"/>
  <c r="D65" i="81"/>
  <c r="E65" i="81"/>
  <c r="F65" i="81"/>
  <c r="G65" i="81"/>
  <c r="H65" i="81"/>
  <c r="C33" i="72"/>
  <c r="D33" i="72"/>
  <c r="E33" i="72"/>
  <c r="F33" i="72"/>
  <c r="G33" i="72"/>
  <c r="H33" i="72"/>
  <c r="H34" i="72"/>
  <c r="E133" i="72"/>
  <c r="F133" i="72"/>
  <c r="G133" i="72"/>
  <c r="H133" i="72"/>
  <c r="I133" i="72"/>
  <c r="J133" i="72"/>
  <c r="G34" i="72"/>
  <c r="F34" i="72"/>
  <c r="E34" i="72"/>
  <c r="D34" i="72"/>
  <c r="C34" i="72"/>
  <c r="F4" i="22"/>
  <c r="G4" i="22" s="1"/>
  <c r="C90" i="81"/>
  <c r="D90" i="81"/>
  <c r="E90" i="81"/>
  <c r="F90" i="81"/>
  <c r="G90" i="81"/>
  <c r="H90" i="81"/>
  <c r="E124" i="53"/>
  <c r="F124" i="53"/>
  <c r="G124" i="53"/>
  <c r="H124" i="53"/>
  <c r="I124" i="53"/>
  <c r="J124" i="53"/>
  <c r="C113" i="81"/>
  <c r="D113" i="81"/>
  <c r="E113" i="81"/>
  <c r="F113" i="81"/>
  <c r="G113" i="81"/>
  <c r="H113" i="81"/>
  <c r="I30" i="53"/>
  <c r="I83" i="53"/>
  <c r="J218" i="53"/>
  <c r="I31" i="53"/>
  <c r="I84" i="53"/>
  <c r="J219" i="53"/>
  <c r="C100" i="83"/>
  <c r="C102" i="83"/>
  <c r="D100" i="83"/>
  <c r="D102" i="83"/>
  <c r="E102" i="83" s="1"/>
  <c r="F102" i="83" s="1"/>
  <c r="G102" i="83" s="1"/>
  <c r="H102" i="83" s="1"/>
  <c r="E100" i="83"/>
  <c r="F100" i="83"/>
  <c r="G100" i="83"/>
  <c r="H100" i="83"/>
  <c r="I33" i="53"/>
  <c r="I86" i="53" s="1"/>
  <c r="J221" i="53" s="1"/>
  <c r="C104" i="83"/>
  <c r="D104" i="83" s="1"/>
  <c r="E104" i="83" s="1"/>
  <c r="C109" i="83"/>
  <c r="D109" i="83"/>
  <c r="E109" i="83" s="1"/>
  <c r="F109" i="83" s="1"/>
  <c r="C110" i="83"/>
  <c r="D110" i="83" s="1"/>
  <c r="E110" i="83" s="1"/>
  <c r="J205" i="53"/>
  <c r="J214" i="53"/>
  <c r="J243" i="53"/>
  <c r="H30" i="53"/>
  <c r="H83" i="53"/>
  <c r="I218" i="53"/>
  <c r="H31" i="53"/>
  <c r="H84" i="53"/>
  <c r="I219" i="53"/>
  <c r="H33" i="53"/>
  <c r="H86" i="53"/>
  <c r="I221" i="53" s="1"/>
  <c r="I205" i="53"/>
  <c r="I214" i="53"/>
  <c r="I243" i="53"/>
  <c r="G30" i="53"/>
  <c r="G83" i="53"/>
  <c r="H218" i="53"/>
  <c r="G31" i="53"/>
  <c r="G84" i="53"/>
  <c r="H219" i="53"/>
  <c r="G33" i="53"/>
  <c r="G86" i="53" s="1"/>
  <c r="H221" i="53" s="1"/>
  <c r="H205" i="53"/>
  <c r="H214" i="53"/>
  <c r="H243" i="53"/>
  <c r="F30" i="53"/>
  <c r="F83" i="53"/>
  <c r="G218" i="53"/>
  <c r="F31" i="53"/>
  <c r="F84" i="53"/>
  <c r="G219" i="53"/>
  <c r="F33" i="53"/>
  <c r="F86" i="53"/>
  <c r="G221" i="53" s="1"/>
  <c r="F40" i="53"/>
  <c r="F93" i="53" s="1"/>
  <c r="G228" i="53" s="1"/>
  <c r="G205" i="53"/>
  <c r="G214" i="53"/>
  <c r="G243" i="53"/>
  <c r="E30" i="53"/>
  <c r="E83" i="53"/>
  <c r="F218" i="53"/>
  <c r="E31" i="53"/>
  <c r="E84" i="53"/>
  <c r="F219" i="53"/>
  <c r="E33" i="53"/>
  <c r="E86" i="53" s="1"/>
  <c r="F221" i="53"/>
  <c r="E35" i="53"/>
  <c r="E88" i="53" s="1"/>
  <c r="F223" i="53" s="1"/>
  <c r="E40" i="53"/>
  <c r="E93" i="53"/>
  <c r="F228" i="53" s="1"/>
  <c r="E41" i="53"/>
  <c r="E94" i="53" s="1"/>
  <c r="F229" i="53" s="1"/>
  <c r="F205" i="53"/>
  <c r="F214" i="53"/>
  <c r="F243" i="53"/>
  <c r="D30" i="53"/>
  <c r="D83" i="53"/>
  <c r="E218" i="53"/>
  <c r="D31" i="53"/>
  <c r="D84" i="53"/>
  <c r="E219" i="53"/>
  <c r="D33" i="53"/>
  <c r="D86" i="53"/>
  <c r="E221" i="53" s="1"/>
  <c r="D35" i="53"/>
  <c r="D88" i="53"/>
  <c r="E223" i="53" s="1"/>
  <c r="D40" i="53"/>
  <c r="D93" i="53" s="1"/>
  <c r="E161" i="53" s="1"/>
  <c r="E228" i="53"/>
  <c r="D41" i="53"/>
  <c r="D94" i="53"/>
  <c r="E229" i="53" s="1"/>
  <c r="E205" i="53"/>
  <c r="E214" i="53"/>
  <c r="E243" i="53"/>
  <c r="F23" i="48"/>
  <c r="G23" i="48"/>
  <c r="H23" i="48"/>
  <c r="I23" i="48"/>
  <c r="J23" i="48"/>
  <c r="K23" i="48"/>
  <c r="K43" i="48"/>
  <c r="K44" i="48"/>
  <c r="K49" i="48"/>
  <c r="H21" i="21"/>
  <c r="E17" i="42"/>
  <c r="F17" i="42"/>
  <c r="G17" i="42" s="1"/>
  <c r="J43" i="48"/>
  <c r="J44" i="48"/>
  <c r="J49" i="48"/>
  <c r="G21" i="21"/>
  <c r="I43" i="48"/>
  <c r="I44" i="48"/>
  <c r="I49" i="48"/>
  <c r="F21" i="21"/>
  <c r="H43" i="48"/>
  <c r="H44" i="48"/>
  <c r="H49" i="48"/>
  <c r="E21" i="21"/>
  <c r="G43" i="48"/>
  <c r="G44" i="48"/>
  <c r="G49" i="48"/>
  <c r="D21" i="21"/>
  <c r="F27" i="42"/>
  <c r="F28" i="42"/>
  <c r="F43" i="48"/>
  <c r="F44" i="48"/>
  <c r="F49" i="48"/>
  <c r="C21" i="21"/>
  <c r="E27" i="42"/>
  <c r="E28" i="42"/>
  <c r="F48" i="61"/>
  <c r="G48" i="61"/>
  <c r="H48" i="61"/>
  <c r="I48" i="61"/>
  <c r="J48" i="61"/>
  <c r="K48" i="61"/>
  <c r="C151" i="55"/>
  <c r="E210" i="55" s="1"/>
  <c r="C162" i="55"/>
  <c r="E221" i="55" s="1"/>
  <c r="C163" i="55"/>
  <c r="E222" i="55" s="1"/>
  <c r="C164" i="55"/>
  <c r="E223" i="55" s="1"/>
  <c r="F28" i="48"/>
  <c r="F29" i="48"/>
  <c r="F30" i="48"/>
  <c r="F31" i="48"/>
  <c r="F32" i="48"/>
  <c r="F33" i="48"/>
  <c r="F34" i="48"/>
  <c r="F35" i="48"/>
  <c r="F36" i="48"/>
  <c r="F37" i="48"/>
  <c r="F38" i="48"/>
  <c r="F39" i="48"/>
  <c r="F35" i="61"/>
  <c r="E151" i="53"/>
  <c r="E152" i="53"/>
  <c r="C9" i="42"/>
  <c r="C10" i="42" s="1"/>
  <c r="E21" i="42" s="1"/>
  <c r="E23" i="42" s="1"/>
  <c r="D151" i="55"/>
  <c r="D162" i="55"/>
  <c r="D163" i="55"/>
  <c r="F222" i="55" s="1"/>
  <c r="D164" i="55"/>
  <c r="G28" i="48"/>
  <c r="G29" i="48"/>
  <c r="G30" i="48"/>
  <c r="G31" i="48"/>
  <c r="G32" i="48"/>
  <c r="G33" i="48"/>
  <c r="G34" i="48"/>
  <c r="G35" i="48"/>
  <c r="G36" i="48"/>
  <c r="G37" i="48"/>
  <c r="G38" i="48"/>
  <c r="G39" i="48"/>
  <c r="G35" i="61"/>
  <c r="F151" i="53"/>
  <c r="F152" i="53"/>
  <c r="F161" i="53"/>
  <c r="D9" i="42"/>
  <c r="D10" i="42" s="1"/>
  <c r="F21" i="42" s="1"/>
  <c r="F23" i="42" s="1"/>
  <c r="E151" i="55"/>
  <c r="E162" i="55"/>
  <c r="E163" i="55"/>
  <c r="E164" i="55"/>
  <c r="H28" i="48"/>
  <c r="H29" i="48"/>
  <c r="H30" i="48"/>
  <c r="H31" i="48"/>
  <c r="H32" i="48"/>
  <c r="H33" i="48"/>
  <c r="H34" i="48"/>
  <c r="H35" i="48"/>
  <c r="H36" i="48"/>
  <c r="H37" i="48"/>
  <c r="H38" i="48"/>
  <c r="H39" i="48"/>
  <c r="H35" i="61"/>
  <c r="G151" i="53"/>
  <c r="G152" i="53"/>
  <c r="G154" i="53"/>
  <c r="F151" i="55"/>
  <c r="F162" i="55"/>
  <c r="F163" i="55"/>
  <c r="F164" i="55"/>
  <c r="I28" i="48"/>
  <c r="I29" i="48"/>
  <c r="I30" i="48"/>
  <c r="I31" i="48"/>
  <c r="I32" i="48"/>
  <c r="I33" i="48"/>
  <c r="I34" i="48"/>
  <c r="I35" i="48"/>
  <c r="I36" i="48"/>
  <c r="I37" i="48"/>
  <c r="I38" i="48"/>
  <c r="I39" i="48"/>
  <c r="I35" i="61"/>
  <c r="H151" i="53"/>
  <c r="H152" i="53"/>
  <c r="H154" i="53"/>
  <c r="G162" i="55"/>
  <c r="G163" i="55"/>
  <c r="G164" i="55"/>
  <c r="J28" i="48"/>
  <c r="J29" i="48"/>
  <c r="J30" i="48"/>
  <c r="J31" i="48"/>
  <c r="J32" i="48"/>
  <c r="J33" i="48"/>
  <c r="J34" i="48"/>
  <c r="J35" i="48"/>
  <c r="J36" i="48"/>
  <c r="J37" i="48"/>
  <c r="J38" i="48"/>
  <c r="J39" i="48"/>
  <c r="J35" i="61"/>
  <c r="I151" i="53"/>
  <c r="I152" i="53"/>
  <c r="H162" i="55"/>
  <c r="H163" i="55"/>
  <c r="H164" i="55"/>
  <c r="K28" i="48"/>
  <c r="K29" i="48"/>
  <c r="K30" i="48"/>
  <c r="K31" i="48"/>
  <c r="K32" i="48"/>
  <c r="K33" i="48"/>
  <c r="K34" i="48"/>
  <c r="K35" i="48"/>
  <c r="K36" i="48"/>
  <c r="K37" i="48"/>
  <c r="K38" i="48"/>
  <c r="K39" i="48"/>
  <c r="K35" i="61"/>
  <c r="J151" i="53"/>
  <c r="J152" i="53"/>
  <c r="J154" i="53"/>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A13" i="72"/>
  <c r="A37" i="72"/>
  <c r="A58" i="72"/>
  <c r="C9" i="61"/>
  <c r="C17" i="61"/>
  <c r="H52" i="57"/>
  <c r="V8" i="61"/>
  <c r="V9" i="61"/>
  <c r="V10" i="61"/>
  <c r="V12" i="61"/>
  <c r="V13" i="61"/>
  <c r="U13" i="61"/>
  <c r="U12" i="61"/>
  <c r="U10" i="61"/>
  <c r="U11" i="61"/>
  <c r="U9" i="61"/>
  <c r="O13" i="61"/>
  <c r="N13" i="61"/>
  <c r="O12" i="61"/>
  <c r="N12" i="61"/>
  <c r="N11" i="61"/>
  <c r="N10" i="61"/>
  <c r="O10" i="61"/>
  <c r="O9" i="61"/>
  <c r="P9" i="61"/>
  <c r="Q9" i="61"/>
  <c r="R9" i="61"/>
  <c r="N9" i="61"/>
  <c r="R8" i="61"/>
  <c r="Q8" i="61"/>
  <c r="P8" i="61"/>
  <c r="O8" i="61"/>
  <c r="P10" i="61"/>
  <c r="Q10" i="61"/>
  <c r="R10" i="61"/>
  <c r="P12" i="61"/>
  <c r="Q12" i="61"/>
  <c r="R12" i="61"/>
  <c r="P13" i="61"/>
  <c r="Q13" i="61"/>
  <c r="R13" i="61"/>
  <c r="C15" i="61"/>
  <c r="C16" i="61"/>
  <c r="H11" i="21"/>
  <c r="I171" i="29" s="1"/>
  <c r="I174" i="29"/>
  <c r="G11" i="21"/>
  <c r="H171" i="29"/>
  <c r="H174" i="29"/>
  <c r="F11" i="21"/>
  <c r="G156" i="29" s="1"/>
  <c r="G171" i="29"/>
  <c r="G174" i="29"/>
  <c r="E11" i="21"/>
  <c r="F141" i="29" s="1"/>
  <c r="F171" i="29"/>
  <c r="F174" i="29"/>
  <c r="D11" i="21"/>
  <c r="E171" i="29" s="1"/>
  <c r="E174" i="29"/>
  <c r="C11" i="21"/>
  <c r="D171" i="29" s="1"/>
  <c r="D174" i="29"/>
  <c r="C174" i="29"/>
  <c r="B129" i="29"/>
  <c r="B144" i="29" s="1"/>
  <c r="B159" i="29" s="1"/>
  <c r="B174" i="29" s="1"/>
  <c r="B128" i="29"/>
  <c r="B143" i="29" s="1"/>
  <c r="B158" i="29" s="1"/>
  <c r="B173" i="29" s="1"/>
  <c r="I159" i="29"/>
  <c r="H156" i="29"/>
  <c r="H159" i="29"/>
  <c r="G159" i="29"/>
  <c r="F156" i="29"/>
  <c r="F159" i="29"/>
  <c r="E159" i="29"/>
  <c r="D156" i="29"/>
  <c r="D159" i="29"/>
  <c r="C159" i="29"/>
  <c r="I141" i="29"/>
  <c r="I144" i="29"/>
  <c r="H141" i="29"/>
  <c r="H144" i="29"/>
  <c r="G141" i="29"/>
  <c r="G144" i="29"/>
  <c r="F144" i="29"/>
  <c r="E141" i="29"/>
  <c r="E144" i="29"/>
  <c r="D144" i="29"/>
  <c r="C144" i="29"/>
  <c r="I129" i="29"/>
  <c r="H126" i="29"/>
  <c r="H129" i="29"/>
  <c r="G126" i="29"/>
  <c r="G129" i="29"/>
  <c r="F129" i="29"/>
  <c r="E129" i="29"/>
  <c r="D129" i="29"/>
  <c r="C129" i="29"/>
  <c r="C126" i="29"/>
  <c r="B127" i="29"/>
  <c r="B126" i="29"/>
  <c r="B125" i="29"/>
  <c r="B140" i="29" s="1"/>
  <c r="B155" i="29" s="1"/>
  <c r="B170" i="29" s="1"/>
  <c r="B124" i="29"/>
  <c r="B123" i="29"/>
  <c r="H33" i="29"/>
  <c r="G33" i="29"/>
  <c r="C33" i="29"/>
  <c r="B35" i="29"/>
  <c r="B34" i="29"/>
  <c r="B33" i="29"/>
  <c r="B32" i="29"/>
  <c r="B31" i="29"/>
  <c r="B30" i="29"/>
  <c r="C52" i="61"/>
  <c r="C51" i="61"/>
  <c r="C50" i="61"/>
  <c r="C49" i="61"/>
  <c r="C48" i="61"/>
  <c r="C47" i="61"/>
  <c r="E149" i="84"/>
  <c r="E150" i="84"/>
  <c r="A23" i="21"/>
  <c r="A33" i="21" s="1"/>
  <c r="A125" i="84"/>
  <c r="A124" i="84"/>
  <c r="A123" i="84"/>
  <c r="A34" i="84"/>
  <c r="A33" i="84"/>
  <c r="A32" i="84"/>
  <c r="A31" i="84"/>
  <c r="A55" i="55"/>
  <c r="A112" i="55" s="1"/>
  <c r="A164" i="55" s="1"/>
  <c r="A223" i="55" s="1"/>
  <c r="A54" i="55"/>
  <c r="A111" i="55" s="1"/>
  <c r="A163" i="55" s="1"/>
  <c r="A222" i="55" s="1"/>
  <c r="A53" i="55"/>
  <c r="A110" i="55" s="1"/>
  <c r="A162" i="55" s="1"/>
  <c r="A221" i="55" s="1"/>
  <c r="A56" i="55"/>
  <c r="A113" i="55" s="1"/>
  <c r="A165" i="55" s="1"/>
  <c r="A224" i="55" s="1"/>
  <c r="A275" i="55" s="1"/>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114" i="55" s="1"/>
  <c r="A166" i="55" s="1"/>
  <c r="A225" i="55" s="1"/>
  <c r="A276" i="55" s="1"/>
  <c r="A58" i="55"/>
  <c r="A59" i="55"/>
  <c r="A116" i="55" s="1"/>
  <c r="A168" i="55" s="1"/>
  <c r="A227" i="55" s="1"/>
  <c r="A278" i="55" s="1"/>
  <c r="A279" i="55"/>
  <c r="A280" i="55"/>
  <c r="A115" i="55"/>
  <c r="A167" i="55"/>
  <c r="A226" i="55" s="1"/>
  <c r="A277" i="55" s="1"/>
  <c r="A109" i="55"/>
  <c r="A161" i="55" s="1"/>
  <c r="A220" i="55" s="1"/>
  <c r="A274" i="55" s="1"/>
  <c r="A108" i="55"/>
  <c r="A160" i="55" s="1"/>
  <c r="A219" i="55" s="1"/>
  <c r="A273" i="55" s="1"/>
  <c r="A107" i="55"/>
  <c r="A159" i="55" s="1"/>
  <c r="A218" i="55" s="1"/>
  <c r="A272" i="55" s="1"/>
  <c r="A106" i="55"/>
  <c r="A158" i="55" s="1"/>
  <c r="A217" i="55" s="1"/>
  <c r="A271" i="55" s="1"/>
  <c r="A105" i="55"/>
  <c r="A157" i="55" s="1"/>
  <c r="A216" i="55" s="1"/>
  <c r="A270" i="55" s="1"/>
  <c r="A104" i="55"/>
  <c r="A156" i="55" s="1"/>
  <c r="A215" i="55" s="1"/>
  <c r="A269" i="55" s="1"/>
  <c r="A103" i="55"/>
  <c r="A155" i="55" s="1"/>
  <c r="A214" i="55" s="1"/>
  <c r="A268" i="55" s="1"/>
  <c r="A102" i="55"/>
  <c r="A154" i="55" s="1"/>
  <c r="A213" i="55" s="1"/>
  <c r="A267" i="55" s="1"/>
  <c r="A101" i="55"/>
  <c r="A153" i="55" s="1"/>
  <c r="A212" i="55" s="1"/>
  <c r="A266" i="55" s="1"/>
  <c r="A100" i="55"/>
  <c r="A152" i="55" s="1"/>
  <c r="A211" i="55" s="1"/>
  <c r="A265" i="55" s="1"/>
  <c r="A99" i="55"/>
  <c r="A151" i="55" s="1"/>
  <c r="A210" i="55" s="1"/>
  <c r="A264" i="55" s="1"/>
  <c r="A98" i="55"/>
  <c r="A150" i="55" s="1"/>
  <c r="A209" i="55" s="1"/>
  <c r="A263" i="55" s="1"/>
  <c r="A97" i="55"/>
  <c r="A149" i="55" s="1"/>
  <c r="A208" i="55" s="1"/>
  <c r="A262" i="55" s="1"/>
  <c r="A96" i="55"/>
  <c r="A148" i="55" s="1"/>
  <c r="A207" i="55" s="1"/>
  <c r="A261" i="55" s="1"/>
  <c r="A95" i="55"/>
  <c r="A147" i="55" s="1"/>
  <c r="A206" i="55" s="1"/>
  <c r="A260" i="55" s="1"/>
  <c r="A94" i="55"/>
  <c r="A146" i="55" s="1"/>
  <c r="A205" i="55" s="1"/>
  <c r="A259" i="55" s="1"/>
  <c r="A93" i="55"/>
  <c r="A145" i="55" s="1"/>
  <c r="A204" i="55" s="1"/>
  <c r="A258" i="55" s="1"/>
  <c r="A92" i="55"/>
  <c r="A144" i="55" s="1"/>
  <c r="A203" i="55" s="1"/>
  <c r="A257" i="55" s="1"/>
  <c r="A91" i="55"/>
  <c r="A143" i="55" s="1"/>
  <c r="A202" i="55" s="1"/>
  <c r="A256" i="55" s="1"/>
  <c r="A255" i="55"/>
  <c r="A254" i="55"/>
  <c r="A31" i="55"/>
  <c r="A88" i="55" s="1"/>
  <c r="A140" i="55" s="1"/>
  <c r="A198" i="55" s="1"/>
  <c r="A253" i="55" s="1"/>
  <c r="A30" i="55"/>
  <c r="A87" i="55"/>
  <c r="A139" i="55" s="1"/>
  <c r="A197" i="55" s="1"/>
  <c r="A252" i="55" s="1"/>
  <c r="A29" i="55"/>
  <c r="A86" i="55" s="1"/>
  <c r="A138" i="55" s="1"/>
  <c r="A196" i="55" s="1"/>
  <c r="A251" i="55" s="1"/>
  <c r="A59" i="81"/>
  <c r="A28" i="55"/>
  <c r="A85" i="55" s="1"/>
  <c r="A137" i="55" s="1"/>
  <c r="A195" i="55" s="1"/>
  <c r="A250" i="55" s="1"/>
  <c r="A37" i="84"/>
  <c r="A65" i="84" s="1"/>
  <c r="A106" i="84" s="1"/>
  <c r="A36" i="84"/>
  <c r="A64" i="84" s="1"/>
  <c r="A104" i="84" s="1"/>
  <c r="A35" i="84"/>
  <c r="A63" i="84" s="1"/>
  <c r="A102" i="84" s="1"/>
  <c r="A13" i="84"/>
  <c r="A44" i="84" s="1"/>
  <c r="A67" i="84" s="1"/>
  <c r="A62" i="84"/>
  <c r="A30" i="84"/>
  <c r="A61" i="84" s="1"/>
  <c r="A97" i="84" s="1"/>
  <c r="A29" i="84"/>
  <c r="A60" i="84" s="1"/>
  <c r="A96" i="84" s="1"/>
  <c r="A28" i="84"/>
  <c r="A59" i="84" s="1"/>
  <c r="A95" i="84" s="1"/>
  <c r="A27" i="84"/>
  <c r="A58" i="84" s="1"/>
  <c r="A94" i="84" s="1"/>
  <c r="A26" i="84"/>
  <c r="A57" i="84" s="1"/>
  <c r="A93" i="84" s="1"/>
  <c r="A25" i="84"/>
  <c r="A56" i="84" s="1"/>
  <c r="A91" i="84" s="1"/>
  <c r="A24" i="84"/>
  <c r="A55" i="84" s="1"/>
  <c r="A89" i="84" s="1"/>
  <c r="A23" i="84"/>
  <c r="A54" i="84" s="1"/>
  <c r="A87" i="84" s="1"/>
  <c r="A22" i="84"/>
  <c r="A53" i="84" s="1"/>
  <c r="A85" i="84" s="1"/>
  <c r="A21" i="84"/>
  <c r="A20" i="84"/>
  <c r="A51" i="84" s="1"/>
  <c r="A81" i="84" s="1"/>
  <c r="A19" i="84"/>
  <c r="A50" i="84" s="1"/>
  <c r="A79" i="84" s="1"/>
  <c r="A18" i="84"/>
  <c r="A49" i="84" s="1"/>
  <c r="A77" i="84" s="1"/>
  <c r="A17" i="84"/>
  <c r="A16" i="84"/>
  <c r="A47" i="84" s="1"/>
  <c r="A73" i="84" s="1"/>
  <c r="A15" i="84"/>
  <c r="A46" i="84" s="1"/>
  <c r="A71" i="84" s="1"/>
  <c r="A14" i="84"/>
  <c r="A45" i="84" s="1"/>
  <c r="A69" i="84" s="1"/>
  <c r="C40" i="84"/>
  <c r="D40" i="84" s="1"/>
  <c r="C41" i="84"/>
  <c r="A98" i="84"/>
  <c r="A52" i="84"/>
  <c r="A83" i="84" s="1"/>
  <c r="A48" i="84"/>
  <c r="A75" i="84" s="1"/>
  <c r="B51" i="84"/>
  <c r="E294" i="55"/>
  <c r="E298" i="55" s="1"/>
  <c r="C28" i="21" s="1"/>
  <c r="E172" i="72"/>
  <c r="E177" i="72" s="1"/>
  <c r="C29" i="21" s="1"/>
  <c r="E265" i="53"/>
  <c r="E266" i="53"/>
  <c r="E267" i="53"/>
  <c r="E268" i="53"/>
  <c r="E37" i="42"/>
  <c r="E41" i="42" s="1"/>
  <c r="C30" i="21" s="1"/>
  <c r="F52" i="48"/>
  <c r="F56" i="48"/>
  <c r="C31" i="21"/>
  <c r="D84" i="22"/>
  <c r="C43" i="21" s="1"/>
  <c r="F172" i="72"/>
  <c r="F177" i="72" s="1"/>
  <c r="D29" i="21" s="1"/>
  <c r="F265" i="53"/>
  <c r="F266" i="53"/>
  <c r="F267" i="53"/>
  <c r="F268" i="53"/>
  <c r="F37" i="42"/>
  <c r="F41" i="42" s="1"/>
  <c r="D30" i="21" s="1"/>
  <c r="G52" i="48"/>
  <c r="G56" i="48"/>
  <c r="D31" i="21"/>
  <c r="E42" i="22"/>
  <c r="E84" i="22"/>
  <c r="D43" i="21" s="1"/>
  <c r="G172" i="72"/>
  <c r="G177" i="72" s="1"/>
  <c r="E29" i="21" s="1"/>
  <c r="G265" i="53"/>
  <c r="G266" i="53"/>
  <c r="G267" i="53"/>
  <c r="G268" i="53"/>
  <c r="H52" i="48"/>
  <c r="H56" i="48"/>
  <c r="E31" i="21"/>
  <c r="F42" i="22"/>
  <c r="F84" i="22"/>
  <c r="E43" i="21" s="1"/>
  <c r="H172" i="72"/>
  <c r="H177" i="72" s="1"/>
  <c r="F29" i="21" s="1"/>
  <c r="H265" i="53"/>
  <c r="H266" i="53"/>
  <c r="H267" i="53"/>
  <c r="H268" i="53"/>
  <c r="I52" i="48"/>
  <c r="I56" i="48"/>
  <c r="F31" i="21"/>
  <c r="G42" i="22"/>
  <c r="G84" i="22"/>
  <c r="F43" i="21" s="1"/>
  <c r="I172" i="72"/>
  <c r="I177" i="72" s="1"/>
  <c r="G29" i="21" s="1"/>
  <c r="I265" i="53"/>
  <c r="I266" i="53"/>
  <c r="I267" i="53"/>
  <c r="I268" i="53"/>
  <c r="J52" i="48"/>
  <c r="J56" i="48"/>
  <c r="G31" i="21"/>
  <c r="H42" i="22"/>
  <c r="H60" i="22"/>
  <c r="G43" i="21"/>
  <c r="I10" i="29" s="1"/>
  <c r="J172" i="72"/>
  <c r="J177" i="72" s="1"/>
  <c r="H29" i="21" s="1"/>
  <c r="J265" i="53"/>
  <c r="J266" i="53"/>
  <c r="J267" i="53"/>
  <c r="J273" i="53" s="1"/>
  <c r="H32" i="21" s="1"/>
  <c r="J268" i="53"/>
  <c r="K52" i="48"/>
  <c r="K56" i="48"/>
  <c r="H31" i="21"/>
  <c r="I42" i="22"/>
  <c r="H43" i="21"/>
  <c r="I109" i="29" s="1"/>
  <c r="L41" i="22"/>
  <c r="L42" i="22" s="1"/>
  <c r="H85" i="22"/>
  <c r="I85" i="22"/>
  <c r="A59" i="22"/>
  <c r="A60" i="22"/>
  <c r="A61" i="22"/>
  <c r="A62" i="22"/>
  <c r="B138" i="29"/>
  <c r="B153" i="29" s="1"/>
  <c r="B168" i="29" s="1"/>
  <c r="B139" i="29"/>
  <c r="B154" i="29" s="1"/>
  <c r="B169" i="29" s="1"/>
  <c r="B141" i="29"/>
  <c r="B142" i="29"/>
  <c r="B157" i="29" s="1"/>
  <c r="B172" i="29" s="1"/>
  <c r="B156" i="29"/>
  <c r="B171" i="29" s="1"/>
  <c r="H25" i="57"/>
  <c r="C63" i="29"/>
  <c r="D63" i="29"/>
  <c r="E63" i="29"/>
  <c r="F63" i="29" s="1"/>
  <c r="G63" i="29" s="1"/>
  <c r="H63" i="29" s="1"/>
  <c r="I63" i="29" s="1"/>
  <c r="V12" i="83"/>
  <c r="W12" i="83"/>
  <c r="X12" i="83"/>
  <c r="P12" i="83"/>
  <c r="Q12" i="83"/>
  <c r="R12" i="83"/>
  <c r="S12" i="83"/>
  <c r="T12" i="83"/>
  <c r="K12" i="81"/>
  <c r="L12" i="81"/>
  <c r="M12" i="81"/>
  <c r="N12" i="81"/>
  <c r="A44" i="81"/>
  <c r="A69" i="81"/>
  <c r="A15" i="72"/>
  <c r="A39" i="72"/>
  <c r="A65"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83" i="72"/>
  <c r="A19" i="72"/>
  <c r="A43" i="72"/>
  <c r="A80" i="72"/>
  <c r="A18" i="72"/>
  <c r="A42" i="72"/>
  <c r="A77" i="72"/>
  <c r="A17" i="72"/>
  <c r="A41" i="72"/>
  <c r="A72" i="72"/>
  <c r="A16" i="72"/>
  <c r="A40" i="72"/>
  <c r="A69"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A27" i="55"/>
  <c r="A84" i="55" s="1"/>
  <c r="A136" i="55" s="1"/>
  <c r="A194" i="55" s="1"/>
  <c r="A249" i="55" s="1"/>
  <c r="A26" i="55"/>
  <c r="A83" i="55"/>
  <c r="A135" i="55" s="1"/>
  <c r="A193" i="55" s="1"/>
  <c r="A248" i="55" s="1"/>
  <c r="A25" i="55"/>
  <c r="A82" i="55" s="1"/>
  <c r="A134" i="55" s="1"/>
  <c r="A192" i="55" s="1"/>
  <c r="A247" i="55" s="1"/>
  <c r="A24" i="55"/>
  <c r="A81" i="55"/>
  <c r="A133" i="55" s="1"/>
  <c r="A191" i="55" s="1"/>
  <c r="A246" i="55" s="1"/>
  <c r="A23" i="55"/>
  <c r="A80" i="55" s="1"/>
  <c r="A132" i="55" s="1"/>
  <c r="A190" i="55" s="1"/>
  <c r="A245" i="55" s="1"/>
  <c r="A22" i="55"/>
  <c r="A79" i="55"/>
  <c r="A131" i="55" s="1"/>
  <c r="A189" i="55" s="1"/>
  <c r="A244" i="55" s="1"/>
  <c r="A21" i="55"/>
  <c r="A78" i="55" s="1"/>
  <c r="A130" i="55" s="1"/>
  <c r="A188" i="55" s="1"/>
  <c r="A243" i="55" s="1"/>
  <c r="A20" i="55"/>
  <c r="A77" i="55"/>
  <c r="A129" i="55" s="1"/>
  <c r="A187" i="55" s="1"/>
  <c r="A242" i="55" s="1"/>
  <c r="A19" i="55"/>
  <c r="A76" i="55" s="1"/>
  <c r="A128" i="55" s="1"/>
  <c r="A186" i="55" s="1"/>
  <c r="A241" i="55" s="1"/>
  <c r="A18" i="55"/>
  <c r="A75" i="55"/>
  <c r="A127" i="55" s="1"/>
  <c r="A185" i="55" s="1"/>
  <c r="A240" i="55" s="1"/>
  <c r="A17" i="55"/>
  <c r="A74" i="55" s="1"/>
  <c r="A126" i="55" s="1"/>
  <c r="A184" i="55" s="1"/>
  <c r="A239" i="55" s="1"/>
  <c r="A16" i="55"/>
  <c r="A73" i="55"/>
  <c r="A125" i="55" s="1"/>
  <c r="A183" i="55" s="1"/>
  <c r="A238" i="55" s="1"/>
  <c r="A15" i="55"/>
  <c r="A72" i="55" s="1"/>
  <c r="A124" i="55" s="1"/>
  <c r="A182" i="55" s="1"/>
  <c r="A237" i="55" s="1"/>
  <c r="A14" i="55"/>
  <c r="A71" i="55"/>
  <c r="A123" i="55" s="1"/>
  <c r="A181" i="55" s="1"/>
  <c r="A236" i="55" s="1"/>
  <c r="A13" i="55"/>
  <c r="A70" i="55" s="1"/>
  <c r="A122" i="55" s="1"/>
  <c r="A180" i="55" s="1"/>
  <c r="A235" i="55" s="1"/>
  <c r="A12" i="55"/>
  <c r="A69" i="55"/>
  <c r="A121" i="55" s="1"/>
  <c r="A179" i="55" s="1"/>
  <c r="A234" i="55" s="1"/>
  <c r="A11" i="55"/>
  <c r="A68" i="55" s="1"/>
  <c r="A120" i="55" s="1"/>
  <c r="A178" i="55" s="1"/>
  <c r="A233" i="55" s="1"/>
  <c r="A32" i="55"/>
  <c r="A89" i="55"/>
  <c r="A141" i="55" s="1"/>
  <c r="A100" i="81"/>
  <c r="V12" i="81"/>
  <c r="W12" i="81"/>
  <c r="X12" i="81"/>
  <c r="P12" i="81"/>
  <c r="Q12" i="81"/>
  <c r="R12" i="81"/>
  <c r="S12" i="81"/>
  <c r="T12" i="81"/>
  <c r="A32" i="48"/>
  <c r="A31" i="48"/>
  <c r="A30" i="48"/>
  <c r="A29" i="48"/>
  <c r="A28" i="48"/>
  <c r="M15" i="62"/>
  <c r="M17" i="62"/>
  <c r="A131" i="53"/>
  <c r="A198" i="53"/>
  <c r="I95" i="29"/>
  <c r="B96" i="29"/>
  <c r="B95" i="29"/>
  <c r="B94" i="29"/>
  <c r="B93" i="29"/>
  <c r="C20" i="68"/>
  <c r="C18" i="68"/>
  <c r="C15" i="68"/>
  <c r="A20" i="21"/>
  <c r="A30" i="21" s="1"/>
  <c r="A19" i="21"/>
  <c r="A29" i="21"/>
  <c r="A18" i="21"/>
  <c r="A28" i="21" s="1"/>
  <c r="A21" i="21"/>
  <c r="A31" i="21"/>
  <c r="A22" i="21"/>
  <c r="A32" i="21" s="1"/>
  <c r="K57" i="48"/>
  <c r="J57" i="48"/>
  <c r="I57" i="48"/>
  <c r="H57" i="48"/>
  <c r="G57" i="48"/>
  <c r="F57" i="48"/>
  <c r="E57" i="48"/>
  <c r="K145" i="72"/>
  <c r="H28" i="69"/>
  <c r="B16" i="68"/>
  <c r="B15" i="68"/>
  <c r="A251" i="53"/>
  <c r="A250" i="53"/>
  <c r="A249" i="53"/>
  <c r="A247" i="53"/>
  <c r="A246" i="53"/>
  <c r="A245" i="53"/>
  <c r="A244" i="53"/>
  <c r="A195" i="53"/>
  <c r="G59" i="48"/>
  <c r="E59" i="48"/>
  <c r="F59" i="48"/>
  <c r="H59" i="48"/>
  <c r="I59" i="48"/>
  <c r="K59" i="48"/>
  <c r="J59" i="48"/>
  <c r="H27" i="69"/>
  <c r="H31" i="69"/>
  <c r="C27" i="69"/>
  <c r="B27" i="69"/>
  <c r="D27" i="69"/>
  <c r="E27" i="69"/>
  <c r="G27" i="69"/>
  <c r="F27" i="69"/>
  <c r="C16" i="68"/>
  <c r="G28" i="42" l="1"/>
  <c r="G37" i="42"/>
  <c r="G41" i="42" s="1"/>
  <c r="E30" i="21" s="1"/>
  <c r="H17" i="42"/>
  <c r="G27" i="42"/>
  <c r="E9" i="42"/>
  <c r="E85" i="22"/>
  <c r="F141" i="55"/>
  <c r="H141" i="55"/>
  <c r="E141" i="55"/>
  <c r="G172" i="55"/>
  <c r="G210" i="55" s="1"/>
  <c r="F264" i="55"/>
  <c r="F221" i="55"/>
  <c r="F223" i="55"/>
  <c r="F279" i="55"/>
  <c r="F255" i="55"/>
  <c r="F280" i="55"/>
  <c r="F294" i="55"/>
  <c r="F298" i="55" s="1"/>
  <c r="D28" i="21" s="1"/>
  <c r="C141" i="55"/>
  <c r="E199" i="55" s="1"/>
  <c r="E254" i="55"/>
  <c r="G141" i="55"/>
  <c r="D141" i="55"/>
  <c r="D254" i="55"/>
  <c r="F210" i="55"/>
  <c r="G264" i="55"/>
  <c r="I273" i="53"/>
  <c r="G32" i="21" s="1"/>
  <c r="G273" i="53"/>
  <c r="E32" i="21" s="1"/>
  <c r="H273" i="53"/>
  <c r="F32" i="21" s="1"/>
  <c r="E273" i="53"/>
  <c r="C32" i="21" s="1"/>
  <c r="F156" i="53"/>
  <c r="E162" i="53"/>
  <c r="E156" i="53"/>
  <c r="F110" i="83"/>
  <c r="F41" i="53"/>
  <c r="F94" i="53" s="1"/>
  <c r="B54" i="83"/>
  <c r="B82" i="83"/>
  <c r="I154" i="53"/>
  <c r="G161" i="53"/>
  <c r="F162" i="53"/>
  <c r="F154" i="53"/>
  <c r="E154" i="53"/>
  <c r="G109" i="83"/>
  <c r="G40" i="53"/>
  <c r="G93" i="53" s="1"/>
  <c r="F104" i="83"/>
  <c r="F35" i="53"/>
  <c r="F88" i="53" s="1"/>
  <c r="F81" i="83"/>
  <c r="H53" i="83"/>
  <c r="H42" i="55" s="1"/>
  <c r="H99" i="55" s="1"/>
  <c r="G42" i="55"/>
  <c r="G99" i="55" s="1"/>
  <c r="B48" i="83"/>
  <c r="B76" i="83"/>
  <c r="B74" i="83"/>
  <c r="B13" i="84" s="1"/>
  <c r="D161" i="53"/>
  <c r="D228" i="53"/>
  <c r="B35" i="55"/>
  <c r="C46" i="83"/>
  <c r="D33" i="83"/>
  <c r="D34" i="83"/>
  <c r="D35" i="83"/>
  <c r="D36" i="83"/>
  <c r="D27" i="83"/>
  <c r="D28" i="83"/>
  <c r="D29" i="83"/>
  <c r="D30" i="83"/>
  <c r="D31" i="83"/>
  <c r="D24" i="83"/>
  <c r="D25" i="83"/>
  <c r="D26" i="83"/>
  <c r="D19" i="83"/>
  <c r="D18" i="83"/>
  <c r="D17" i="83"/>
  <c r="D15" i="83"/>
  <c r="D40" i="83"/>
  <c r="D39" i="83"/>
  <c r="D38" i="83"/>
  <c r="D37" i="83"/>
  <c r="D20" i="83"/>
  <c r="D14" i="81"/>
  <c r="B92" i="81" s="1"/>
  <c r="C23" i="81"/>
  <c r="G85" i="22"/>
  <c r="C51" i="84"/>
  <c r="B44" i="84"/>
  <c r="E154" i="84"/>
  <c r="C33" i="21" s="1"/>
  <c r="G118" i="84"/>
  <c r="F149" i="84"/>
  <c r="F150" i="84"/>
  <c r="C44" i="84"/>
  <c r="D154" i="84"/>
  <c r="B33" i="21" s="1"/>
  <c r="E40" i="84"/>
  <c r="D41" i="84"/>
  <c r="H109" i="29"/>
  <c r="D33" i="29"/>
  <c r="D126" i="29"/>
  <c r="D141" i="29"/>
  <c r="E156" i="29"/>
  <c r="I156" i="29"/>
  <c r="H59" i="29"/>
  <c r="F126" i="29"/>
  <c r="C141" i="29"/>
  <c r="E33" i="29"/>
  <c r="I33" i="29"/>
  <c r="F33" i="29"/>
  <c r="E126" i="29"/>
  <c r="I126" i="29"/>
  <c r="C156" i="29"/>
  <c r="J10" i="29"/>
  <c r="F85" i="22"/>
  <c r="D42" i="22"/>
  <c r="G30" i="57"/>
  <c r="F92" i="57"/>
  <c r="D9" i="62" s="1"/>
  <c r="F9" i="62" s="1"/>
  <c r="F81" i="57"/>
  <c r="G50" i="57"/>
  <c r="V11" i="61"/>
  <c r="V16" i="61" s="1"/>
  <c r="G45" i="57"/>
  <c r="G25" i="57"/>
  <c r="F67" i="57"/>
  <c r="D7" i="62" s="1"/>
  <c r="F7" i="62" s="1"/>
  <c r="P11" i="61"/>
  <c r="O16" i="61"/>
  <c r="G12" i="57"/>
  <c r="L59" i="22"/>
  <c r="L60" i="22" s="1"/>
  <c r="L61" i="22" s="1"/>
  <c r="J95" i="29"/>
  <c r="I60" i="22"/>
  <c r="D60" i="22"/>
  <c r="F12" i="22"/>
  <c r="I59" i="29"/>
  <c r="D85" i="22"/>
  <c r="F8" i="22"/>
  <c r="F9" i="22"/>
  <c r="F273" i="53"/>
  <c r="D32" i="21" s="1"/>
  <c r="D273" i="53"/>
  <c r="B32" i="21" s="1"/>
  <c r="D34" i="42"/>
  <c r="B20" i="21" s="1"/>
  <c r="F14" i="22"/>
  <c r="F15" i="22"/>
  <c r="F13" i="22"/>
  <c r="G19" i="22"/>
  <c r="G12" i="22"/>
  <c r="G14" i="22"/>
  <c r="G8" i="22"/>
  <c r="G9" i="22"/>
  <c r="G13" i="22"/>
  <c r="G15" i="22"/>
  <c r="F21" i="22"/>
  <c r="F17" i="22"/>
  <c r="G18" i="22"/>
  <c r="F20" i="22"/>
  <c r="G22" i="22"/>
  <c r="F16" i="22"/>
  <c r="G17" i="22"/>
  <c r="F19" i="22"/>
  <c r="G20" i="22"/>
  <c r="G16" i="22"/>
  <c r="H4" i="22"/>
  <c r="G21" i="22"/>
  <c r="F18" i="22"/>
  <c r="F22" i="22"/>
  <c r="D41" i="42"/>
  <c r="B30" i="21" s="1"/>
  <c r="B23" i="21"/>
  <c r="B18" i="69"/>
  <c r="C18" i="69" s="1"/>
  <c r="D18" i="69" s="1"/>
  <c r="E18" i="69" s="1"/>
  <c r="F18" i="69" s="1"/>
  <c r="G18" i="69" s="1"/>
  <c r="H18" i="69" s="1"/>
  <c r="I36" i="22"/>
  <c r="H36" i="22"/>
  <c r="D36" i="22"/>
  <c r="G36" i="22"/>
  <c r="F36" i="22"/>
  <c r="E36" i="22"/>
  <c r="C85" i="22"/>
  <c r="L35" i="22"/>
  <c r="L36" i="22" s="1"/>
  <c r="G60" i="22"/>
  <c r="F60" i="22"/>
  <c r="E60" i="22"/>
  <c r="G38" i="61"/>
  <c r="D10" i="21"/>
  <c r="F38" i="61"/>
  <c r="C10" i="21"/>
  <c r="B10" i="21"/>
  <c r="E38" i="61"/>
  <c r="F29" i="42"/>
  <c r="F34" i="42" s="1"/>
  <c r="H29" i="42"/>
  <c r="E29" i="42"/>
  <c r="E34" i="42" s="1"/>
  <c r="G29" i="42"/>
  <c r="G34" i="42" s="1"/>
  <c r="L62" i="22"/>
  <c r="M59" i="22" s="1"/>
  <c r="M60" i="22" s="1"/>
  <c r="C32" i="81"/>
  <c r="D36" i="81" s="1"/>
  <c r="D16" i="81"/>
  <c r="D20" i="81"/>
  <c r="D22" i="81"/>
  <c r="D15" i="81"/>
  <c r="D17" i="81"/>
  <c r="D19" i="81"/>
  <c r="D21" i="81"/>
  <c r="D18" i="81"/>
  <c r="D26" i="81"/>
  <c r="F26" i="81" s="1"/>
  <c r="H26" i="81" s="1"/>
  <c r="E23" i="22"/>
  <c r="B35" i="21" s="1"/>
  <c r="F109" i="29"/>
  <c r="G95" i="29"/>
  <c r="F59" i="29"/>
  <c r="G10" i="29"/>
  <c r="D10" i="29"/>
  <c r="C59" i="29"/>
  <c r="C109" i="29"/>
  <c r="D95" i="29"/>
  <c r="E59" i="29"/>
  <c r="E109" i="29"/>
  <c r="F95" i="29"/>
  <c r="F10" i="29"/>
  <c r="H95" i="29"/>
  <c r="H10" i="29"/>
  <c r="G59" i="29"/>
  <c r="G109" i="29"/>
  <c r="D109" i="29"/>
  <c r="E95" i="29"/>
  <c r="E10" i="29"/>
  <c r="D59" i="29"/>
  <c r="C61" i="22"/>
  <c r="D61" i="22" s="1"/>
  <c r="C62" i="22"/>
  <c r="D59" i="22" s="1"/>
  <c r="L43" i="22"/>
  <c r="L44" i="22"/>
  <c r="M41" i="22" s="1"/>
  <c r="C44" i="22"/>
  <c r="D41" i="22" s="1"/>
  <c r="C43" i="22"/>
  <c r="C38" i="22"/>
  <c r="C37" i="22"/>
  <c r="D62" i="22" l="1"/>
  <c r="E59" i="22" s="1"/>
  <c r="E62" i="22" s="1"/>
  <c r="F59" i="22" s="1"/>
  <c r="F62" i="22" s="1"/>
  <c r="G59" i="22" s="1"/>
  <c r="G62" i="22" s="1"/>
  <c r="H59" i="22" s="1"/>
  <c r="H62" i="22" s="1"/>
  <c r="I59" i="22" s="1"/>
  <c r="I62" i="22" s="1"/>
  <c r="E51" i="61"/>
  <c r="H27" i="42"/>
  <c r="H34" i="42" s="1"/>
  <c r="H28" i="42"/>
  <c r="I17" i="42"/>
  <c r="H37" i="42"/>
  <c r="H41" i="42" s="1"/>
  <c r="F30" i="21" s="1"/>
  <c r="F9" i="42"/>
  <c r="E10" i="42"/>
  <c r="G21" i="42" s="1"/>
  <c r="G23" i="42" s="1"/>
  <c r="D43" i="22"/>
  <c r="E43" i="22" s="1"/>
  <c r="F43" i="22" s="1"/>
  <c r="G43" i="22" s="1"/>
  <c r="H43" i="22" s="1"/>
  <c r="I43" i="22" s="1"/>
  <c r="D44" i="22"/>
  <c r="E41" i="22" s="1"/>
  <c r="E44" i="22" s="1"/>
  <c r="F41" i="22" s="1"/>
  <c r="F44" i="22" s="1"/>
  <c r="G41" i="22" s="1"/>
  <c r="G44" i="22" s="1"/>
  <c r="H41" i="22" s="1"/>
  <c r="H44" i="22" s="1"/>
  <c r="I41" i="22" s="1"/>
  <c r="I44" i="22" s="1"/>
  <c r="G254" i="55"/>
  <c r="G222" i="55"/>
  <c r="G223" i="55"/>
  <c r="G280" i="55"/>
  <c r="H172" i="55"/>
  <c r="G255" i="55"/>
  <c r="G294" i="55"/>
  <c r="G298" i="55" s="1"/>
  <c r="E28" i="21" s="1"/>
  <c r="G279" i="55"/>
  <c r="H199" i="55"/>
  <c r="F199" i="55"/>
  <c r="G199" i="55"/>
  <c r="G221" i="55"/>
  <c r="F40" i="83"/>
  <c r="H40" i="83" s="1"/>
  <c r="B126" i="83"/>
  <c r="F31" i="83"/>
  <c r="H31" i="83" s="1"/>
  <c r="B118" i="83"/>
  <c r="G104" i="83"/>
  <c r="G35" i="53"/>
  <c r="G88" i="53" s="1"/>
  <c r="F37" i="83"/>
  <c r="H37" i="83" s="1"/>
  <c r="B123" i="83"/>
  <c r="F15" i="83"/>
  <c r="H15" i="83" s="1"/>
  <c r="B103" i="83"/>
  <c r="F26" i="83"/>
  <c r="H26" i="83" s="1"/>
  <c r="B113" i="83"/>
  <c r="B117" i="83"/>
  <c r="F30" i="83"/>
  <c r="H30" i="83" s="1"/>
  <c r="F36" i="83"/>
  <c r="H36" i="83" s="1"/>
  <c r="B122" i="83"/>
  <c r="D46" i="83"/>
  <c r="C35" i="55"/>
  <c r="H151" i="55"/>
  <c r="H228" i="53"/>
  <c r="H161" i="53"/>
  <c r="B43" i="55"/>
  <c r="B100" i="55" s="1"/>
  <c r="C54" i="83"/>
  <c r="F20" i="83"/>
  <c r="H20" i="83" s="1"/>
  <c r="B108" i="83"/>
  <c r="F19" i="83"/>
  <c r="H19" i="83" s="1"/>
  <c r="B107" i="83"/>
  <c r="F27" i="83"/>
  <c r="H27" i="83" s="1"/>
  <c r="B114" i="83"/>
  <c r="F33" i="83"/>
  <c r="H33" i="83" s="1"/>
  <c r="B119" i="83"/>
  <c r="G151" i="55"/>
  <c r="B21" i="84"/>
  <c r="B52" i="84" s="1"/>
  <c r="C82" i="83"/>
  <c r="F38" i="83"/>
  <c r="H38" i="83" s="1"/>
  <c r="B124" i="83"/>
  <c r="F17" i="83"/>
  <c r="H17" i="83" s="1"/>
  <c r="B105" i="83"/>
  <c r="F25" i="83"/>
  <c r="H25" i="83" s="1"/>
  <c r="B112" i="83"/>
  <c r="F29" i="83"/>
  <c r="H29" i="83" s="1"/>
  <c r="B116" i="83"/>
  <c r="F35" i="83"/>
  <c r="H35" i="83" s="1"/>
  <c r="B121" i="83"/>
  <c r="B92" i="55"/>
  <c r="B15" i="84"/>
  <c r="B46" i="84" s="1"/>
  <c r="C76" i="83"/>
  <c r="G81" i="83"/>
  <c r="F20" i="84"/>
  <c r="H109" i="83"/>
  <c r="I40" i="53" s="1"/>
  <c r="I93" i="53" s="1"/>
  <c r="H40" i="53"/>
  <c r="H93" i="53" s="1"/>
  <c r="G229" i="53"/>
  <c r="G162" i="53"/>
  <c r="F39" i="83"/>
  <c r="H39" i="83" s="1"/>
  <c r="B125" i="83"/>
  <c r="F18" i="83"/>
  <c r="H18" i="83" s="1"/>
  <c r="B106" i="83"/>
  <c r="F24" i="83"/>
  <c r="H24" i="83" s="1"/>
  <c r="B111" i="83"/>
  <c r="F28" i="83"/>
  <c r="H28" i="83" s="1"/>
  <c r="B115" i="83"/>
  <c r="F34" i="83"/>
  <c r="H34" i="83" s="1"/>
  <c r="B120" i="83"/>
  <c r="B37" i="55"/>
  <c r="B94" i="55" s="1"/>
  <c r="C48" i="83"/>
  <c r="G223" i="53"/>
  <c r="G156" i="53"/>
  <c r="G110" i="83"/>
  <c r="G41" i="53"/>
  <c r="G94" i="53" s="1"/>
  <c r="C19" i="68"/>
  <c r="C47" i="22"/>
  <c r="L47" i="22" s="1"/>
  <c r="G149" i="84"/>
  <c r="H118" i="84"/>
  <c r="F154" i="84"/>
  <c r="D33" i="21" s="1"/>
  <c r="G150" i="84"/>
  <c r="D44" i="84"/>
  <c r="D51" i="84"/>
  <c r="E41" i="84"/>
  <c r="F40" i="84"/>
  <c r="H150" i="84"/>
  <c r="I118" i="84"/>
  <c r="C53" i="22"/>
  <c r="F54" i="22" s="1"/>
  <c r="F12" i="62"/>
  <c r="E19" i="62" s="1"/>
  <c r="B34" i="69" s="1"/>
  <c r="C34" i="69" s="1"/>
  <c r="D34" i="69" s="1"/>
  <c r="E34" i="69" s="1"/>
  <c r="F34" i="69" s="1"/>
  <c r="G34" i="69" s="1"/>
  <c r="H34" i="69" s="1"/>
  <c r="C17" i="68"/>
  <c r="E20" i="62"/>
  <c r="D4" i="23" s="1"/>
  <c r="C10" i="23" s="1"/>
  <c r="D10" i="23" s="1"/>
  <c r="G52" i="57"/>
  <c r="Q11" i="61"/>
  <c r="P16" i="61"/>
  <c r="L38" i="22"/>
  <c r="F23" i="22"/>
  <c r="C35" i="21" s="1"/>
  <c r="C36" i="21" s="1"/>
  <c r="D147" i="29" s="1"/>
  <c r="B36" i="21"/>
  <c r="D43" i="42"/>
  <c r="D45" i="42" s="1"/>
  <c r="G23" i="22"/>
  <c r="D35" i="21" s="1"/>
  <c r="E61" i="22"/>
  <c r="F61" i="22" s="1"/>
  <c r="G61" i="22" s="1"/>
  <c r="H61" i="22" s="1"/>
  <c r="I61" i="22" s="1"/>
  <c r="H21" i="22"/>
  <c r="H19" i="22"/>
  <c r="H16" i="22"/>
  <c r="H14" i="22"/>
  <c r="H12" i="22"/>
  <c r="H8" i="22"/>
  <c r="H20" i="22"/>
  <c r="H17" i="22"/>
  <c r="H22" i="22"/>
  <c r="H18" i="22"/>
  <c r="I4" i="22"/>
  <c r="H15" i="22"/>
  <c r="H13" i="22"/>
  <c r="H9" i="22"/>
  <c r="L37" i="22"/>
  <c r="M61" i="22"/>
  <c r="M62" i="22"/>
  <c r="N59" i="22" s="1"/>
  <c r="N60" i="22" s="1"/>
  <c r="D30" i="81"/>
  <c r="F30" i="81" s="1"/>
  <c r="H30" i="81" s="1"/>
  <c r="D29" i="81"/>
  <c r="B106" i="81" s="1"/>
  <c r="D31" i="81"/>
  <c r="B108" i="81" s="1"/>
  <c r="B103" i="81"/>
  <c r="C103" i="81" s="1"/>
  <c r="H51" i="61"/>
  <c r="G43" i="42"/>
  <c r="G45" i="42" s="1"/>
  <c r="E20" i="21"/>
  <c r="F51" i="61"/>
  <c r="C20" i="21"/>
  <c r="E43" i="42"/>
  <c r="E45" i="42" s="1"/>
  <c r="D20" i="21"/>
  <c r="G51" i="61"/>
  <c r="F43" i="42"/>
  <c r="F45" i="42" s="1"/>
  <c r="D155" i="29"/>
  <c r="D140" i="29"/>
  <c r="D125" i="29"/>
  <c r="D32" i="29"/>
  <c r="D170" i="29"/>
  <c r="C32" i="29"/>
  <c r="C155" i="29"/>
  <c r="C140" i="29"/>
  <c r="C170" i="29"/>
  <c r="C125" i="29"/>
  <c r="E170" i="29"/>
  <c r="E155" i="29"/>
  <c r="E140" i="29"/>
  <c r="E125" i="29"/>
  <c r="E32" i="29"/>
  <c r="D27" i="81"/>
  <c r="F27" i="81" s="1"/>
  <c r="H27" i="81" s="1"/>
  <c r="D24" i="81"/>
  <c r="F24" i="81" s="1"/>
  <c r="H24" i="81" s="1"/>
  <c r="D28" i="81"/>
  <c r="B105" i="81" s="1"/>
  <c r="D35" i="81"/>
  <c r="F35" i="81" s="1"/>
  <c r="H35" i="81" s="1"/>
  <c r="B61" i="81" s="1"/>
  <c r="D25" i="81"/>
  <c r="B102" i="81" s="1"/>
  <c r="F17" i="81"/>
  <c r="H17" i="81" s="1"/>
  <c r="B95" i="81"/>
  <c r="B94" i="81"/>
  <c r="F16" i="81"/>
  <c r="H16" i="81" s="1"/>
  <c r="F19" i="81"/>
  <c r="H19" i="81" s="1"/>
  <c r="B97" i="81"/>
  <c r="F18" i="81"/>
  <c r="H18" i="81" s="1"/>
  <c r="B96" i="81"/>
  <c r="B93" i="81"/>
  <c r="F15" i="81"/>
  <c r="H15" i="81" s="1"/>
  <c r="F14" i="81"/>
  <c r="H14" i="81" s="1"/>
  <c r="B67" i="81" s="1"/>
  <c r="K14" i="81"/>
  <c r="M14" i="81"/>
  <c r="N14" i="81"/>
  <c r="J14" i="81"/>
  <c r="L14" i="81"/>
  <c r="B98" i="81"/>
  <c r="F20" i="81"/>
  <c r="H20" i="81" s="1"/>
  <c r="B99" i="81"/>
  <c r="F21" i="81"/>
  <c r="H21" i="81" s="1"/>
  <c r="F22" i="81"/>
  <c r="H22" i="81" s="1"/>
  <c r="B100" i="81"/>
  <c r="C100" i="81" s="1"/>
  <c r="D100" i="81" s="1"/>
  <c r="E100" i="81" s="1"/>
  <c r="F100" i="81" s="1"/>
  <c r="G100" i="81" s="1"/>
  <c r="H100" i="81" s="1"/>
  <c r="D33" i="81"/>
  <c r="D34" i="81"/>
  <c r="C9" i="53"/>
  <c r="C62" i="53" s="1"/>
  <c r="C92" i="81"/>
  <c r="B112" i="81"/>
  <c r="F36" i="81"/>
  <c r="H36" i="81" s="1"/>
  <c r="F31" i="81"/>
  <c r="H31" i="81" s="1"/>
  <c r="B53" i="81"/>
  <c r="B78" i="81"/>
  <c r="M42" i="22"/>
  <c r="M43" i="22" s="1"/>
  <c r="D37" i="22"/>
  <c r="D35" i="22"/>
  <c r="F20" i="21" l="1"/>
  <c r="H43" i="42"/>
  <c r="I51" i="61"/>
  <c r="J17" i="42"/>
  <c r="I28" i="42"/>
  <c r="I37" i="42"/>
  <c r="I41" i="42" s="1"/>
  <c r="G30" i="21" s="1"/>
  <c r="I27" i="42"/>
  <c r="I29" i="42"/>
  <c r="H38" i="61"/>
  <c r="E10" i="21"/>
  <c r="G9" i="42"/>
  <c r="F10" i="42"/>
  <c r="H21" i="42" s="1"/>
  <c r="H23" i="42" s="1"/>
  <c r="G48" i="22"/>
  <c r="F48" i="22"/>
  <c r="I48" i="22"/>
  <c r="D54" i="22"/>
  <c r="E48" i="22"/>
  <c r="C48" i="22"/>
  <c r="H48" i="22"/>
  <c r="D48" i="22"/>
  <c r="I210" i="55"/>
  <c r="I172" i="55"/>
  <c r="H279" i="55"/>
  <c r="H294" i="55"/>
  <c r="H298" i="55" s="1"/>
  <c r="F28" i="21" s="1"/>
  <c r="H255" i="55"/>
  <c r="H280" i="55"/>
  <c r="H221" i="55"/>
  <c r="H210" i="55"/>
  <c r="H223" i="55"/>
  <c r="H254" i="55"/>
  <c r="H222" i="55"/>
  <c r="H264" i="55"/>
  <c r="D36" i="21"/>
  <c r="E147" i="29" s="1"/>
  <c r="C23" i="68"/>
  <c r="D259" i="55"/>
  <c r="B146" i="55"/>
  <c r="D205" i="55" s="1"/>
  <c r="B50" i="83"/>
  <c r="B78" i="83"/>
  <c r="H81" i="83"/>
  <c r="H20" i="84" s="1"/>
  <c r="G20" i="84"/>
  <c r="B49" i="83"/>
  <c r="B77" i="83"/>
  <c r="B63" i="83"/>
  <c r="B91" i="83"/>
  <c r="B79" i="83"/>
  <c r="B51" i="83"/>
  <c r="D265" i="55"/>
  <c r="B152" i="55"/>
  <c r="D211" i="55" s="1"/>
  <c r="B94" i="83"/>
  <c r="B66" i="83"/>
  <c r="C66" i="83" s="1"/>
  <c r="D66" i="83" s="1"/>
  <c r="E66" i="83" s="1"/>
  <c r="F66" i="83" s="1"/>
  <c r="G66" i="83" s="1"/>
  <c r="H66" i="83" s="1"/>
  <c r="B57" i="83"/>
  <c r="B85" i="83"/>
  <c r="B95" i="83"/>
  <c r="B67" i="83"/>
  <c r="C49" i="53"/>
  <c r="C102" i="53" s="1"/>
  <c r="C118" i="83"/>
  <c r="C51" i="53"/>
  <c r="C104" i="53" s="1"/>
  <c r="D172" i="53" s="1"/>
  <c r="C120" i="83"/>
  <c r="C42" i="53"/>
  <c r="C95" i="53" s="1"/>
  <c r="C111" i="83"/>
  <c r="C56" i="53"/>
  <c r="C109" i="53" s="1"/>
  <c r="C125" i="83"/>
  <c r="I228" i="53"/>
  <c r="I161" i="53"/>
  <c r="C15" i="84"/>
  <c r="C46" i="84" s="1"/>
  <c r="D76" i="83"/>
  <c r="C52" i="53"/>
  <c r="C105" i="53" s="1"/>
  <c r="D173" i="53" s="1"/>
  <c r="C121" i="83"/>
  <c r="C43" i="53"/>
  <c r="C96" i="53" s="1"/>
  <c r="C112" i="83"/>
  <c r="C55" i="53"/>
  <c r="C108" i="53" s="1"/>
  <c r="C124" i="83"/>
  <c r="C45" i="53"/>
  <c r="C98" i="53" s="1"/>
  <c r="C114" i="83"/>
  <c r="C39" i="53"/>
  <c r="C92" i="53" s="1"/>
  <c r="C108" i="83"/>
  <c r="C92" i="55"/>
  <c r="B61" i="83"/>
  <c r="B89" i="83"/>
  <c r="C34" i="53"/>
  <c r="C87" i="53" s="1"/>
  <c r="C103" i="83"/>
  <c r="B62" i="83"/>
  <c r="B90" i="83"/>
  <c r="B88" i="83"/>
  <c r="B60" i="83"/>
  <c r="B64" i="83"/>
  <c r="C64" i="83" s="1"/>
  <c r="D64" i="83" s="1"/>
  <c r="E64" i="83" s="1"/>
  <c r="F64" i="83" s="1"/>
  <c r="G64" i="83" s="1"/>
  <c r="H64" i="83" s="1"/>
  <c r="B92" i="83"/>
  <c r="J228" i="53"/>
  <c r="J161" i="53"/>
  <c r="B65" i="83"/>
  <c r="C65" i="83" s="1"/>
  <c r="D65" i="83" s="1"/>
  <c r="E65" i="83" s="1"/>
  <c r="F65" i="83" s="1"/>
  <c r="G65" i="83" s="1"/>
  <c r="H65" i="83" s="1"/>
  <c r="B93" i="83"/>
  <c r="B56" i="83"/>
  <c r="B84" i="83"/>
  <c r="B68" i="83"/>
  <c r="B96" i="83"/>
  <c r="B58" i="83"/>
  <c r="B86" i="83"/>
  <c r="B52" i="83"/>
  <c r="B80" i="83"/>
  <c r="E46" i="83"/>
  <c r="D35" i="55"/>
  <c r="C48" i="53"/>
  <c r="C101" i="53" s="1"/>
  <c r="C117" i="83"/>
  <c r="B47" i="83"/>
  <c r="B75" i="83"/>
  <c r="H156" i="53"/>
  <c r="H223" i="53"/>
  <c r="C57" i="53"/>
  <c r="C110" i="53" s="1"/>
  <c r="C126" i="83"/>
  <c r="H110" i="83"/>
  <c r="I41" i="53" s="1"/>
  <c r="I94" i="53" s="1"/>
  <c r="H41" i="53"/>
  <c r="H94" i="53" s="1"/>
  <c r="B59" i="83"/>
  <c r="B87" i="83"/>
  <c r="D257" i="55"/>
  <c r="B144" i="55"/>
  <c r="D203" i="55" s="1"/>
  <c r="B55" i="83"/>
  <c r="B83" i="83"/>
  <c r="B69" i="83"/>
  <c r="B97" i="83"/>
  <c r="H229" i="53"/>
  <c r="H162" i="53"/>
  <c r="D48" i="83"/>
  <c r="C37" i="55"/>
  <c r="C94" i="55" s="1"/>
  <c r="C46" i="53"/>
  <c r="C99" i="53" s="1"/>
  <c r="C115" i="83"/>
  <c r="C37" i="53"/>
  <c r="C90" i="53" s="1"/>
  <c r="C106" i="83"/>
  <c r="C47" i="53"/>
  <c r="C100" i="53" s="1"/>
  <c r="C116" i="83"/>
  <c r="C36" i="53"/>
  <c r="C89" i="53" s="1"/>
  <c r="C105" i="83"/>
  <c r="D82" i="83"/>
  <c r="C21" i="84"/>
  <c r="C52" i="84" s="1"/>
  <c r="C50" i="53"/>
  <c r="C103" i="53" s="1"/>
  <c r="C119" i="83"/>
  <c r="C38" i="53"/>
  <c r="C91" i="53" s="1"/>
  <c r="C107" i="83"/>
  <c r="D54" i="83"/>
  <c r="C43" i="55"/>
  <c r="C100" i="55" s="1"/>
  <c r="C53" i="53"/>
  <c r="C106" i="53" s="1"/>
  <c r="D174" i="53" s="1"/>
  <c r="C122" i="83"/>
  <c r="C44" i="53"/>
  <c r="C97" i="53" s="1"/>
  <c r="C113" i="83"/>
  <c r="C54" i="53"/>
  <c r="C107" i="53" s="1"/>
  <c r="C123" i="83"/>
  <c r="H104" i="83"/>
  <c r="I35" i="53" s="1"/>
  <c r="I88" i="53" s="1"/>
  <c r="H35" i="53"/>
  <c r="H88" i="53" s="1"/>
  <c r="B98" i="83"/>
  <c r="B70" i="83"/>
  <c r="B104" i="81"/>
  <c r="C104" i="81" s="1"/>
  <c r="F29" i="81"/>
  <c r="H29" i="81" s="1"/>
  <c r="C54" i="22"/>
  <c r="C63" i="22"/>
  <c r="B13" i="69" s="1"/>
  <c r="I54" i="22"/>
  <c r="H54" i="22"/>
  <c r="H64" i="22" s="1"/>
  <c r="G42" i="21" s="1"/>
  <c r="E54" i="22"/>
  <c r="C9" i="68"/>
  <c r="H149" i="84"/>
  <c r="H154" i="84" s="1"/>
  <c r="F33" i="21" s="1"/>
  <c r="G154" i="84"/>
  <c r="E33" i="21" s="1"/>
  <c r="F41" i="84"/>
  <c r="G40" i="84"/>
  <c r="E44" i="84"/>
  <c r="E51" i="84"/>
  <c r="I150" i="84"/>
  <c r="J118" i="84"/>
  <c r="I149" i="84"/>
  <c r="I64" i="22"/>
  <c r="H14" i="69" s="1"/>
  <c r="G54" i="22"/>
  <c r="L53" i="22"/>
  <c r="L54" i="22" s="1"/>
  <c r="L55" i="22" s="1"/>
  <c r="F64" i="22"/>
  <c r="E42" i="21" s="1"/>
  <c r="G94" i="29" s="1"/>
  <c r="C10" i="68"/>
  <c r="D8" i="23"/>
  <c r="F70" i="23" s="1"/>
  <c r="L48" i="22"/>
  <c r="L50" i="22" s="1"/>
  <c r="C55" i="22"/>
  <c r="C56" i="22"/>
  <c r="D53" i="22" s="1"/>
  <c r="D56" i="22" s="1"/>
  <c r="E53" i="22" s="1"/>
  <c r="E56" i="22" s="1"/>
  <c r="F53" i="22" s="1"/>
  <c r="F56" i="22" s="1"/>
  <c r="G53" i="22" s="1"/>
  <c r="Q16" i="61"/>
  <c r="R11" i="61"/>
  <c r="R16" i="61" s="1"/>
  <c r="C49" i="22"/>
  <c r="M35" i="22"/>
  <c r="M36" i="22" s="1"/>
  <c r="M38" i="22" s="1"/>
  <c r="C177" i="29"/>
  <c r="C147" i="29"/>
  <c r="D132" i="29"/>
  <c r="C132" i="29"/>
  <c r="D177" i="29"/>
  <c r="D162" i="29"/>
  <c r="D23" i="68"/>
  <c r="E132" i="29"/>
  <c r="C162" i="29"/>
  <c r="B107" i="81"/>
  <c r="C107" i="81" s="1"/>
  <c r="N61" i="22"/>
  <c r="I21" i="22"/>
  <c r="I20" i="22"/>
  <c r="I17" i="22"/>
  <c r="I22" i="22"/>
  <c r="I18" i="22"/>
  <c r="I15" i="22"/>
  <c r="I13" i="22"/>
  <c r="I9" i="22"/>
  <c r="I19" i="22"/>
  <c r="J4" i="22"/>
  <c r="I16" i="22"/>
  <c r="I14" i="22"/>
  <c r="I12" i="22"/>
  <c r="I8" i="22"/>
  <c r="H23" i="22"/>
  <c r="E35" i="21" s="1"/>
  <c r="M44" i="22"/>
  <c r="N41" i="22" s="1"/>
  <c r="N42" i="22" s="1"/>
  <c r="N43" i="22" s="1"/>
  <c r="C20" i="53"/>
  <c r="C73" i="53" s="1"/>
  <c r="D141" i="53" s="1"/>
  <c r="B101" i="81"/>
  <c r="C18" i="53" s="1"/>
  <c r="C71" i="53" s="1"/>
  <c r="F28" i="81"/>
  <c r="H28" i="81" s="1"/>
  <c r="B80" i="81" s="1"/>
  <c r="B86" i="81"/>
  <c r="C86" i="81" s="1"/>
  <c r="D86" i="81" s="1"/>
  <c r="E86" i="81" s="1"/>
  <c r="F86" i="81" s="1"/>
  <c r="G86" i="81" s="1"/>
  <c r="H86" i="81" s="1"/>
  <c r="F25" i="81"/>
  <c r="H25" i="81" s="1"/>
  <c r="B52" i="81" s="1"/>
  <c r="B111" i="81"/>
  <c r="F34" i="81"/>
  <c r="H34" i="81" s="1"/>
  <c r="B110" i="81"/>
  <c r="B44" i="81"/>
  <c r="B69" i="81"/>
  <c r="F33" i="81"/>
  <c r="H33" i="81" s="1"/>
  <c r="B109" i="81"/>
  <c r="C109" i="81" s="1"/>
  <c r="D109" i="81" s="1"/>
  <c r="E109" i="81" s="1"/>
  <c r="F109" i="81" s="1"/>
  <c r="G109" i="81" s="1"/>
  <c r="H109" i="81" s="1"/>
  <c r="C16" i="53"/>
  <c r="C69" i="53" s="1"/>
  <c r="C99" i="81"/>
  <c r="B42" i="81"/>
  <c r="B71" i="81"/>
  <c r="B46" i="81"/>
  <c r="C11" i="53"/>
  <c r="C64" i="53" s="1"/>
  <c r="C94" i="81"/>
  <c r="B74" i="81"/>
  <c r="B49" i="81"/>
  <c r="C13" i="53"/>
  <c r="C66" i="53" s="1"/>
  <c r="C96" i="81"/>
  <c r="B48" i="81"/>
  <c r="B73" i="81"/>
  <c r="B43" i="81"/>
  <c r="B68" i="81"/>
  <c r="C14" i="53"/>
  <c r="C67" i="53" s="1"/>
  <c r="C97" i="81"/>
  <c r="C12" i="53"/>
  <c r="C65" i="53" s="1"/>
  <c r="C95" i="81"/>
  <c r="B75" i="81"/>
  <c r="B50" i="81"/>
  <c r="C15" i="53"/>
  <c r="C68" i="53" s="1"/>
  <c r="C98" i="81"/>
  <c r="C10" i="53"/>
  <c r="C63" i="53" s="1"/>
  <c r="C93" i="81"/>
  <c r="B72" i="81"/>
  <c r="B47" i="81"/>
  <c r="B70" i="81"/>
  <c r="B45" i="81"/>
  <c r="D9" i="53"/>
  <c r="D62" i="53" s="1"/>
  <c r="D92" i="81"/>
  <c r="D197" i="53"/>
  <c r="D130" i="53"/>
  <c r="C29" i="53"/>
  <c r="C82" i="53" s="1"/>
  <c r="C112" i="81"/>
  <c r="D103" i="81"/>
  <c r="D20" i="53"/>
  <c r="D73" i="53" s="1"/>
  <c r="B22" i="55"/>
  <c r="B79" i="55" s="1"/>
  <c r="C53" i="81"/>
  <c r="B30" i="55"/>
  <c r="B87" i="55" s="1"/>
  <c r="C61" i="81"/>
  <c r="C19" i="53"/>
  <c r="C72" i="53" s="1"/>
  <c r="C102" i="81"/>
  <c r="C25" i="53"/>
  <c r="C78" i="53" s="1"/>
  <c r="C108" i="81"/>
  <c r="B57" i="81"/>
  <c r="B82" i="81"/>
  <c r="B56" i="81"/>
  <c r="B81" i="81"/>
  <c r="B24" i="72"/>
  <c r="B48" i="72" s="1"/>
  <c r="C78" i="81"/>
  <c r="B79" i="81"/>
  <c r="B54" i="81"/>
  <c r="B83" i="81"/>
  <c r="B58" i="81"/>
  <c r="C22" i="53"/>
  <c r="C75" i="53" s="1"/>
  <c r="C105" i="81"/>
  <c r="B62" i="81"/>
  <c r="B87" i="81"/>
  <c r="C87" i="81" s="1"/>
  <c r="D87" i="81" s="1"/>
  <c r="E87" i="81" s="1"/>
  <c r="F87" i="81" s="1"/>
  <c r="G87" i="81" s="1"/>
  <c r="H87" i="81" s="1"/>
  <c r="C23" i="53"/>
  <c r="C76" i="53" s="1"/>
  <c r="C106" i="81"/>
  <c r="B51" i="81"/>
  <c r="B76" i="81"/>
  <c r="N62" i="22"/>
  <c r="O59" i="22" s="1"/>
  <c r="F10" i="23"/>
  <c r="E10" i="23" s="1"/>
  <c r="D38" i="22"/>
  <c r="E37" i="22"/>
  <c r="I154" i="84" l="1"/>
  <c r="G33" i="21" s="1"/>
  <c r="E36" i="21"/>
  <c r="F10" i="21"/>
  <c r="I38" i="61"/>
  <c r="I34" i="42"/>
  <c r="J27" i="42"/>
  <c r="J28" i="42"/>
  <c r="J37" i="42"/>
  <c r="J41" i="42" s="1"/>
  <c r="H30" i="21" s="1"/>
  <c r="J29" i="42"/>
  <c r="G10" i="42"/>
  <c r="I21" i="42" s="1"/>
  <c r="I23" i="42" s="1"/>
  <c r="H9" i="42"/>
  <c r="H10" i="42" s="1"/>
  <c r="J21" i="42" s="1"/>
  <c r="J23" i="42" s="1"/>
  <c r="F155" i="29"/>
  <c r="F140" i="29"/>
  <c r="F125" i="29"/>
  <c r="F170" i="29"/>
  <c r="F32" i="29"/>
  <c r="H45" i="42"/>
  <c r="G64" i="22"/>
  <c r="E64" i="22"/>
  <c r="D42" i="21" s="1"/>
  <c r="F9" i="29" s="1"/>
  <c r="C64" i="22"/>
  <c r="B14" i="69" s="1"/>
  <c r="B15" i="69" s="1"/>
  <c r="D64" i="22"/>
  <c r="C14" i="69" s="1"/>
  <c r="E177" i="29"/>
  <c r="C50" i="22"/>
  <c r="D55" i="22"/>
  <c r="E55" i="22" s="1"/>
  <c r="F55" i="22" s="1"/>
  <c r="G55" i="22" s="1"/>
  <c r="H55" i="22" s="1"/>
  <c r="I55" i="22" s="1"/>
  <c r="E162" i="29"/>
  <c r="E23" i="68"/>
  <c r="I279" i="55"/>
  <c r="I221" i="55"/>
  <c r="I223" i="55"/>
  <c r="I280" i="55"/>
  <c r="I294" i="55"/>
  <c r="I298" i="55" s="1"/>
  <c r="G28" i="21" s="1"/>
  <c r="J172" i="55"/>
  <c r="I255" i="55"/>
  <c r="I222" i="55"/>
  <c r="I254" i="55"/>
  <c r="I199" i="55"/>
  <c r="I264" i="55"/>
  <c r="C21" i="53"/>
  <c r="C74" i="53" s="1"/>
  <c r="C24" i="53"/>
  <c r="C77" i="53" s="1"/>
  <c r="D165" i="53"/>
  <c r="D232" i="53"/>
  <c r="D119" i="83"/>
  <c r="D50" i="53"/>
  <c r="D103" i="53" s="1"/>
  <c r="B19" i="84"/>
  <c r="B50" i="84" s="1"/>
  <c r="C80" i="83"/>
  <c r="B31" i="84"/>
  <c r="C92" i="83"/>
  <c r="B28" i="84"/>
  <c r="B59" i="84" s="1"/>
  <c r="C89" i="83"/>
  <c r="D108" i="83"/>
  <c r="D39" i="53"/>
  <c r="D92" i="53" s="1"/>
  <c r="D124" i="83"/>
  <c r="D55" i="53"/>
  <c r="D108" i="53" s="1"/>
  <c r="D111" i="83"/>
  <c r="D42" i="53"/>
  <c r="D95" i="53" s="1"/>
  <c r="C67" i="83"/>
  <c r="B56" i="55"/>
  <c r="B113" i="55" s="1"/>
  <c r="B40" i="55"/>
  <c r="B97" i="55" s="1"/>
  <c r="C51" i="83"/>
  <c r="B16" i="84"/>
  <c r="B47" i="84" s="1"/>
  <c r="C77" i="83"/>
  <c r="B17" i="84"/>
  <c r="B48" i="84" s="1"/>
  <c r="C78" i="83"/>
  <c r="B59" i="55"/>
  <c r="B116" i="55" s="1"/>
  <c r="C70" i="83"/>
  <c r="D54" i="53"/>
  <c r="D107" i="53" s="1"/>
  <c r="D123" i="83"/>
  <c r="D53" i="53"/>
  <c r="D106" i="53" s="1"/>
  <c r="E174" i="53" s="1"/>
  <c r="D122" i="83"/>
  <c r="E54" i="83"/>
  <c r="D43" i="55"/>
  <c r="D100" i="55" s="1"/>
  <c r="D238" i="53"/>
  <c r="D171" i="53"/>
  <c r="D157" i="53"/>
  <c r="D224" i="53"/>
  <c r="D158" i="53"/>
  <c r="D225" i="53"/>
  <c r="E48" i="83"/>
  <c r="D37" i="55"/>
  <c r="D94" i="55" s="1"/>
  <c r="B58" i="55"/>
  <c r="B115" i="55" s="1"/>
  <c r="C69" i="83"/>
  <c r="J229" i="53"/>
  <c r="J162" i="53"/>
  <c r="D169" i="53"/>
  <c r="D236" i="53"/>
  <c r="B41" i="55"/>
  <c r="B98" i="55" s="1"/>
  <c r="C52" i="83"/>
  <c r="B57" i="55"/>
  <c r="B114" i="55" s="1"/>
  <c r="C68" i="83"/>
  <c r="B51" i="55"/>
  <c r="B108" i="55" s="1"/>
  <c r="C62" i="83"/>
  <c r="B50" i="55"/>
  <c r="B107" i="55" s="1"/>
  <c r="C61" i="83"/>
  <c r="D160" i="53"/>
  <c r="D227" i="53"/>
  <c r="D176" i="53"/>
  <c r="D240" i="53"/>
  <c r="D230" i="53"/>
  <c r="D163" i="53"/>
  <c r="B34" i="84"/>
  <c r="B62" i="84" s="1"/>
  <c r="C95" i="83"/>
  <c r="B33" i="84"/>
  <c r="C94" i="83"/>
  <c r="B18" i="84"/>
  <c r="B49" i="84" s="1"/>
  <c r="C79" i="83"/>
  <c r="B38" i="55"/>
  <c r="B95" i="55" s="1"/>
  <c r="C49" i="83"/>
  <c r="B39" i="55"/>
  <c r="B96" i="55" s="1"/>
  <c r="C50" i="83"/>
  <c r="D105" i="83"/>
  <c r="D36" i="53"/>
  <c r="D89" i="53" s="1"/>
  <c r="B32" i="84"/>
  <c r="C93" i="83"/>
  <c r="D239" i="53"/>
  <c r="D175" i="53"/>
  <c r="D107" i="83"/>
  <c r="D38" i="53"/>
  <c r="D91" i="53" s="1"/>
  <c r="D116" i="83"/>
  <c r="D47" i="53"/>
  <c r="D100" i="53" s="1"/>
  <c r="B22" i="84"/>
  <c r="B53" i="84" s="1"/>
  <c r="C83" i="83"/>
  <c r="B26" i="84"/>
  <c r="B57" i="84" s="1"/>
  <c r="C87" i="83"/>
  <c r="D126" i="83"/>
  <c r="D57" i="53"/>
  <c r="D110" i="53" s="1"/>
  <c r="B14" i="84"/>
  <c r="C75" i="83"/>
  <c r="D92" i="55"/>
  <c r="B25" i="84"/>
  <c r="B56" i="84" s="1"/>
  <c r="C86" i="83"/>
  <c r="B23" i="84"/>
  <c r="B54" i="84" s="1"/>
  <c r="C84" i="83"/>
  <c r="C60" i="83"/>
  <c r="B49" i="55"/>
  <c r="B106" i="55" s="1"/>
  <c r="D103" i="83"/>
  <c r="D34" i="53"/>
  <c r="D87" i="53" s="1"/>
  <c r="D114" i="83"/>
  <c r="D45" i="53"/>
  <c r="D98" i="53" s="1"/>
  <c r="D112" i="83"/>
  <c r="D43" i="53"/>
  <c r="D96" i="53" s="1"/>
  <c r="D15" i="84"/>
  <c r="D46" i="84" s="1"/>
  <c r="E76" i="83"/>
  <c r="D125" i="83"/>
  <c r="D56" i="53"/>
  <c r="D109" i="53" s="1"/>
  <c r="D51" i="53"/>
  <c r="D104" i="53" s="1"/>
  <c r="E172" i="53" s="1"/>
  <c r="D120" i="83"/>
  <c r="D118" i="83"/>
  <c r="D49" i="53"/>
  <c r="D102" i="53" s="1"/>
  <c r="B24" i="84"/>
  <c r="B55" i="84" s="1"/>
  <c r="C85" i="83"/>
  <c r="B30" i="84"/>
  <c r="B61" i="84" s="1"/>
  <c r="C91" i="83"/>
  <c r="J223" i="53"/>
  <c r="J156" i="53"/>
  <c r="E265" i="55"/>
  <c r="C152" i="55"/>
  <c r="E211" i="55" s="1"/>
  <c r="D106" i="83"/>
  <c r="D37" i="53"/>
  <c r="D90" i="53" s="1"/>
  <c r="E259" i="55"/>
  <c r="C146" i="55"/>
  <c r="E205" i="55" s="1"/>
  <c r="B36" i="84"/>
  <c r="B64" i="84" s="1"/>
  <c r="C97" i="83"/>
  <c r="I229" i="53"/>
  <c r="I162" i="53"/>
  <c r="D117" i="83"/>
  <c r="D48" i="53"/>
  <c r="D101" i="53" s="1"/>
  <c r="B35" i="84"/>
  <c r="B63" i="84" s="1"/>
  <c r="C96" i="83"/>
  <c r="B29" i="84"/>
  <c r="B60" i="84" s="1"/>
  <c r="C90" i="83"/>
  <c r="D121" i="83"/>
  <c r="D52" i="53"/>
  <c r="D105" i="53" s="1"/>
  <c r="E173" i="53" s="1"/>
  <c r="B37" i="84"/>
  <c r="B65" i="84" s="1"/>
  <c r="C98" i="83"/>
  <c r="D115" i="83"/>
  <c r="D46" i="53"/>
  <c r="D99" i="53" s="1"/>
  <c r="I223" i="53"/>
  <c r="I156" i="53"/>
  <c r="D113" i="83"/>
  <c r="D44" i="53"/>
  <c r="D97" i="53" s="1"/>
  <c r="D226" i="53"/>
  <c r="D159" i="53"/>
  <c r="D21" i="84"/>
  <c r="D52" i="84" s="1"/>
  <c r="E82" i="83"/>
  <c r="D168" i="53"/>
  <c r="D235" i="53"/>
  <c r="D234" i="53"/>
  <c r="D167" i="53"/>
  <c r="B44" i="55"/>
  <c r="B101" i="55" s="1"/>
  <c r="C55" i="83"/>
  <c r="B48" i="55"/>
  <c r="B105" i="55" s="1"/>
  <c r="C59" i="83"/>
  <c r="D242" i="53"/>
  <c r="D178" i="53"/>
  <c r="B36" i="55"/>
  <c r="C47" i="83"/>
  <c r="E35" i="55"/>
  <c r="F46" i="83"/>
  <c r="B47" i="55"/>
  <c r="B104" i="55" s="1"/>
  <c r="C58" i="83"/>
  <c r="B45" i="55"/>
  <c r="B102" i="55" s="1"/>
  <c r="C56" i="83"/>
  <c r="B27" i="84"/>
  <c r="B58" i="84" s="1"/>
  <c r="C88" i="83"/>
  <c r="D222" i="53"/>
  <c r="D155" i="53"/>
  <c r="E257" i="55"/>
  <c r="C144" i="55"/>
  <c r="E203" i="55" s="1"/>
  <c r="D166" i="53"/>
  <c r="D233" i="53"/>
  <c r="D164" i="53"/>
  <c r="D231" i="53"/>
  <c r="D177" i="53"/>
  <c r="D241" i="53"/>
  <c r="D170" i="53"/>
  <c r="D237" i="53"/>
  <c r="B46" i="55"/>
  <c r="B103" i="55" s="1"/>
  <c r="C57" i="83"/>
  <c r="B52" i="55"/>
  <c r="B109" i="55" s="1"/>
  <c r="C63" i="83"/>
  <c r="D208" i="53"/>
  <c r="B77" i="81"/>
  <c r="C77" i="81" s="1"/>
  <c r="B55" i="81"/>
  <c r="C55" i="81" s="1"/>
  <c r="G56" i="22"/>
  <c r="H53" i="22" s="1"/>
  <c r="H56" i="22" s="1"/>
  <c r="I53" i="22" s="1"/>
  <c r="E108" i="29"/>
  <c r="H42" i="21"/>
  <c r="I108" i="29" s="1"/>
  <c r="I56" i="22"/>
  <c r="F63" i="23"/>
  <c r="F60" i="23"/>
  <c r="G9" i="29"/>
  <c r="J150" i="84"/>
  <c r="J149" i="84"/>
  <c r="J154" i="84" s="1"/>
  <c r="H33" i="21" s="1"/>
  <c r="G41" i="84"/>
  <c r="H40" i="84"/>
  <c r="F44" i="84"/>
  <c r="F51" i="84"/>
  <c r="F94" i="29"/>
  <c r="D14" i="69"/>
  <c r="E43" i="29"/>
  <c r="F42" i="21"/>
  <c r="F14" i="69"/>
  <c r="F108" i="29"/>
  <c r="L63" i="22"/>
  <c r="L56" i="22"/>
  <c r="M53" i="22" s="1"/>
  <c r="M54" i="22" s="1"/>
  <c r="M55" i="22" s="1"/>
  <c r="F37" i="23"/>
  <c r="F65" i="23"/>
  <c r="F92" i="23"/>
  <c r="E94" i="22"/>
  <c r="G14" i="69"/>
  <c r="J94" i="29"/>
  <c r="F58" i="29"/>
  <c r="E14" i="69"/>
  <c r="F43" i="29"/>
  <c r="F30" i="23"/>
  <c r="F45" i="23"/>
  <c r="F40" i="23"/>
  <c r="F54" i="23"/>
  <c r="F91" i="23"/>
  <c r="F93" i="23"/>
  <c r="F62" i="23"/>
  <c r="F82" i="23"/>
  <c r="F38" i="23"/>
  <c r="F53" i="23"/>
  <c r="F76" i="23"/>
  <c r="F79" i="23"/>
  <c r="F16" i="23"/>
  <c r="F32" i="23"/>
  <c r="F42" i="23"/>
  <c r="F64" i="23"/>
  <c r="F27" i="23"/>
  <c r="F90" i="23"/>
  <c r="F85" i="23"/>
  <c r="F31" i="23"/>
  <c r="F46" i="23"/>
  <c r="F72" i="23"/>
  <c r="F81" i="23"/>
  <c r="F24" i="23"/>
  <c r="F71" i="23"/>
  <c r="F29" i="23"/>
  <c r="F74" i="23"/>
  <c r="F56" i="23"/>
  <c r="F21" i="23"/>
  <c r="F25" i="23"/>
  <c r="F52" i="23"/>
  <c r="F83" i="23"/>
  <c r="F22" i="23"/>
  <c r="F36" i="23"/>
  <c r="F67" i="23"/>
  <c r="F69" i="23"/>
  <c r="F17" i="23"/>
  <c r="F44" i="23"/>
  <c r="F75" i="23"/>
  <c r="F41" i="23"/>
  <c r="F43" i="23"/>
  <c r="F34" i="23"/>
  <c r="F78" i="23"/>
  <c r="F88" i="23"/>
  <c r="F57" i="23"/>
  <c r="F18" i="23"/>
  <c r="F49" i="23"/>
  <c r="F26" i="23"/>
  <c r="F61" i="23"/>
  <c r="F51" i="23"/>
  <c r="F87" i="23"/>
  <c r="F84" i="23"/>
  <c r="F89" i="23"/>
  <c r="F23" i="23"/>
  <c r="F50" i="23"/>
  <c r="F55" i="23"/>
  <c r="F19" i="23"/>
  <c r="F35" i="23"/>
  <c r="F58" i="23"/>
  <c r="F28" i="23"/>
  <c r="F59" i="23"/>
  <c r="F77" i="23"/>
  <c r="F68" i="23"/>
  <c r="F48" i="23"/>
  <c r="F47" i="23"/>
  <c r="F80" i="23"/>
  <c r="F20" i="23"/>
  <c r="F66" i="23"/>
  <c r="F33" i="23"/>
  <c r="F86" i="23"/>
  <c r="F73" i="23"/>
  <c r="F39" i="23"/>
  <c r="C42" i="21"/>
  <c r="M47" i="22"/>
  <c r="D47" i="22"/>
  <c r="C66" i="22"/>
  <c r="H108" i="29"/>
  <c r="H58" i="29"/>
  <c r="G94" i="22"/>
  <c r="I9" i="29"/>
  <c r="I94" i="29"/>
  <c r="D49" i="22"/>
  <c r="C65" i="22"/>
  <c r="B42" i="21"/>
  <c r="C43" i="29" s="1"/>
  <c r="L49" i="22"/>
  <c r="L64" i="22"/>
  <c r="B95" i="22" s="1"/>
  <c r="I23" i="22"/>
  <c r="F35" i="21" s="1"/>
  <c r="F36" i="21" s="1"/>
  <c r="J21" i="22"/>
  <c r="J22" i="22"/>
  <c r="J18" i="22"/>
  <c r="K4" i="22"/>
  <c r="J15" i="22"/>
  <c r="J13" i="22"/>
  <c r="J9" i="22"/>
  <c r="J19" i="22"/>
  <c r="J16" i="22"/>
  <c r="J14" i="22"/>
  <c r="J12" i="22"/>
  <c r="J8" i="22"/>
  <c r="J20" i="22"/>
  <c r="J17" i="22"/>
  <c r="F147" i="29"/>
  <c r="F132" i="29"/>
  <c r="F23" i="68"/>
  <c r="F162" i="29"/>
  <c r="F177" i="29"/>
  <c r="C101" i="81"/>
  <c r="D18" i="53" s="1"/>
  <c r="D71" i="53" s="1"/>
  <c r="D131" i="53"/>
  <c r="D198" i="53"/>
  <c r="C75" i="81"/>
  <c r="B21" i="72"/>
  <c r="B45" i="72" s="1"/>
  <c r="B17" i="55"/>
  <c r="B74" i="55" s="1"/>
  <c r="C48" i="81"/>
  <c r="B17" i="72"/>
  <c r="B41" i="72" s="1"/>
  <c r="C71" i="81"/>
  <c r="B13" i="55"/>
  <c r="B70" i="55" s="1"/>
  <c r="D235" i="55" s="1"/>
  <c r="C44" i="81"/>
  <c r="B16" i="55"/>
  <c r="B73" i="55" s="1"/>
  <c r="C47" i="81"/>
  <c r="D98" i="81"/>
  <c r="D15" i="53"/>
  <c r="D68" i="53" s="1"/>
  <c r="D95" i="81"/>
  <c r="D12" i="53"/>
  <c r="D65" i="53" s="1"/>
  <c r="B14" i="72"/>
  <c r="B38" i="72" s="1"/>
  <c r="C68" i="81"/>
  <c r="D96" i="81"/>
  <c r="D13" i="53"/>
  <c r="D66" i="53" s="1"/>
  <c r="D94" i="81"/>
  <c r="D11" i="53"/>
  <c r="D64" i="53" s="1"/>
  <c r="B11" i="55"/>
  <c r="C42" i="81"/>
  <c r="C110" i="81"/>
  <c r="C27" i="53"/>
  <c r="C80" i="53" s="1"/>
  <c r="B16" i="72"/>
  <c r="B40" i="72" s="1"/>
  <c r="C70" i="81"/>
  <c r="D135" i="53"/>
  <c r="D202" i="53"/>
  <c r="B20" i="72"/>
  <c r="B44" i="72" s="1"/>
  <c r="C74" i="81"/>
  <c r="D204" i="53"/>
  <c r="D137" i="53"/>
  <c r="B18" i="72"/>
  <c r="B42" i="72" s="1"/>
  <c r="C72" i="81"/>
  <c r="D136" i="53"/>
  <c r="D203" i="53"/>
  <c r="D200" i="53"/>
  <c r="D133" i="53"/>
  <c r="C43" i="81"/>
  <c r="B12" i="55"/>
  <c r="B69" i="55" s="1"/>
  <c r="D134" i="53"/>
  <c r="D201" i="53"/>
  <c r="D132" i="53"/>
  <c r="D199" i="53"/>
  <c r="C67" i="81"/>
  <c r="B13" i="72"/>
  <c r="B37" i="72" s="1"/>
  <c r="B59" i="81"/>
  <c r="B84" i="81"/>
  <c r="B60" i="81"/>
  <c r="B85" i="81"/>
  <c r="C45" i="81"/>
  <c r="B14" i="55"/>
  <c r="B71" i="55" s="1"/>
  <c r="D93" i="81"/>
  <c r="D10" i="53"/>
  <c r="D63" i="53" s="1"/>
  <c r="B19" i="55"/>
  <c r="B76" i="55" s="1"/>
  <c r="C50" i="81"/>
  <c r="D14" i="53"/>
  <c r="D67" i="53" s="1"/>
  <c r="D97" i="81"/>
  <c r="C73" i="81"/>
  <c r="B19" i="72"/>
  <c r="B43" i="72" s="1"/>
  <c r="C49" i="81"/>
  <c r="B18" i="55"/>
  <c r="B75" i="55" s="1"/>
  <c r="B15" i="55"/>
  <c r="B72" i="55" s="1"/>
  <c r="C46" i="81"/>
  <c r="D99" i="81"/>
  <c r="D16" i="53"/>
  <c r="D69" i="53" s="1"/>
  <c r="B15" i="72"/>
  <c r="B39" i="72" s="1"/>
  <c r="C69" i="81"/>
  <c r="C28" i="53"/>
  <c r="C81" i="53" s="1"/>
  <c r="C111" i="81"/>
  <c r="E9" i="53"/>
  <c r="E62" i="53" s="1"/>
  <c r="E92" i="81"/>
  <c r="E130" i="53"/>
  <c r="E197" i="53"/>
  <c r="D211" i="53"/>
  <c r="D144" i="53"/>
  <c r="D104" i="81"/>
  <c r="D21" i="53"/>
  <c r="D74" i="53" s="1"/>
  <c r="D139" i="53"/>
  <c r="D206" i="53"/>
  <c r="B27" i="72"/>
  <c r="B51" i="72" s="1"/>
  <c r="C81" i="81"/>
  <c r="B22" i="72"/>
  <c r="C76" i="81"/>
  <c r="B27" i="55"/>
  <c r="B84" i="55" s="1"/>
  <c r="C58" i="81"/>
  <c r="B23" i="55"/>
  <c r="B80" i="55" s="1"/>
  <c r="C54" i="81"/>
  <c r="D78" i="81"/>
  <c r="C24" i="72"/>
  <c r="C48" i="72" s="1"/>
  <c r="B25" i="55"/>
  <c r="B82" i="55" s="1"/>
  <c r="C56" i="81"/>
  <c r="B26" i="55"/>
  <c r="B83" i="55" s="1"/>
  <c r="C57" i="81"/>
  <c r="D108" i="81"/>
  <c r="D25" i="53"/>
  <c r="D78" i="53" s="1"/>
  <c r="D102" i="81"/>
  <c r="D19" i="53"/>
  <c r="D72" i="53" s="1"/>
  <c r="B26" i="72"/>
  <c r="B50" i="72" s="1"/>
  <c r="C80" i="81"/>
  <c r="D53" i="81"/>
  <c r="C22" i="55"/>
  <c r="C79" i="55" s="1"/>
  <c r="D217" i="53"/>
  <c r="D150" i="53"/>
  <c r="B28" i="72"/>
  <c r="B52" i="72" s="1"/>
  <c r="C82" i="81"/>
  <c r="B139" i="55"/>
  <c r="D197" i="55" s="1"/>
  <c r="D252" i="55"/>
  <c r="D145" i="53"/>
  <c r="D212" i="53"/>
  <c r="D112" i="81"/>
  <c r="D29" i="53"/>
  <c r="D82" i="53" s="1"/>
  <c r="B20" i="55"/>
  <c r="C51" i="81"/>
  <c r="B31" i="55"/>
  <c r="B88" i="55" s="1"/>
  <c r="C62" i="81"/>
  <c r="D22" i="53"/>
  <c r="D75" i="53" s="1"/>
  <c r="D105" i="81"/>
  <c r="B29" i="72"/>
  <c r="B53" i="72" s="1"/>
  <c r="C83" i="81"/>
  <c r="B25" i="72"/>
  <c r="B49" i="72" s="1"/>
  <c r="C79" i="81"/>
  <c r="B23" i="72"/>
  <c r="B47" i="72" s="1"/>
  <c r="D146" i="53"/>
  <c r="D213" i="53"/>
  <c r="D140" i="53"/>
  <c r="D207" i="53"/>
  <c r="B131" i="55"/>
  <c r="D189" i="55" s="1"/>
  <c r="D244" i="55"/>
  <c r="E208" i="53"/>
  <c r="E141" i="53"/>
  <c r="D106" i="81"/>
  <c r="D23" i="53"/>
  <c r="D76" i="53" s="1"/>
  <c r="D143" i="53"/>
  <c r="D210" i="53"/>
  <c r="D142" i="53"/>
  <c r="D209" i="53"/>
  <c r="C52" i="81"/>
  <c r="B21" i="55"/>
  <c r="B78" i="55" s="1"/>
  <c r="D61" i="81"/>
  <c r="C30" i="55"/>
  <c r="C87" i="55" s="1"/>
  <c r="D107" i="81"/>
  <c r="D24" i="53"/>
  <c r="D77" i="53" s="1"/>
  <c r="E103" i="81"/>
  <c r="E20" i="53"/>
  <c r="E73" i="53" s="1"/>
  <c r="O60" i="22"/>
  <c r="O61" i="22" s="1"/>
  <c r="N44" i="22"/>
  <c r="O41" i="22" s="1"/>
  <c r="N35" i="22"/>
  <c r="M37" i="22"/>
  <c r="G10" i="23"/>
  <c r="C11" i="23" s="1"/>
  <c r="F37" i="22"/>
  <c r="E35" i="22"/>
  <c r="D94" i="22" l="1"/>
  <c r="E58" i="29"/>
  <c r="G10" i="21"/>
  <c r="J38" i="61"/>
  <c r="J34" i="42"/>
  <c r="J51" i="61"/>
  <c r="I43" i="42"/>
  <c r="I45" i="42" s="1"/>
  <c r="G20" i="21"/>
  <c r="H10" i="21"/>
  <c r="K38" i="61"/>
  <c r="G155" i="29"/>
  <c r="G140" i="29"/>
  <c r="G125" i="29"/>
  <c r="G32" i="29"/>
  <c r="G170" i="29"/>
  <c r="J279" i="55"/>
  <c r="J221" i="55"/>
  <c r="J223" i="55"/>
  <c r="J280" i="55"/>
  <c r="J255" i="55"/>
  <c r="J294" i="55"/>
  <c r="J298" i="55" s="1"/>
  <c r="H28" i="21" s="1"/>
  <c r="J254" i="55"/>
  <c r="J222" i="55"/>
  <c r="J199" i="55"/>
  <c r="J264" i="55"/>
  <c r="J210" i="55"/>
  <c r="B24" i="55"/>
  <c r="B81" i="55" s="1"/>
  <c r="D90" i="83"/>
  <c r="C29" i="84"/>
  <c r="C60" i="84" s="1"/>
  <c r="D97" i="83"/>
  <c r="C36" i="84"/>
  <c r="C64" i="84" s="1"/>
  <c r="E225" i="53"/>
  <c r="E158" i="53"/>
  <c r="D85" i="83"/>
  <c r="C24" i="84"/>
  <c r="C55" i="84" s="1"/>
  <c r="F76" i="83"/>
  <c r="E15" i="84"/>
  <c r="E46" i="84" s="1"/>
  <c r="B158" i="55"/>
  <c r="D217" i="55" s="1"/>
  <c r="D271" i="55"/>
  <c r="D86" i="83"/>
  <c r="C25" i="84"/>
  <c r="C56" i="84" s="1"/>
  <c r="D87" i="83"/>
  <c r="C26" i="84"/>
  <c r="C57" i="84" s="1"/>
  <c r="D49" i="83"/>
  <c r="C38" i="55"/>
  <c r="C95" i="55" s="1"/>
  <c r="D62" i="83"/>
  <c r="C51" i="55"/>
  <c r="C108" i="55" s="1"/>
  <c r="D52" i="83"/>
  <c r="C41" i="55"/>
  <c r="C98" i="55" s="1"/>
  <c r="F259" i="55"/>
  <c r="D146" i="55"/>
  <c r="F205" i="55" s="1"/>
  <c r="F265" i="55"/>
  <c r="D152" i="55"/>
  <c r="F211" i="55" s="1"/>
  <c r="D78" i="83"/>
  <c r="C17" i="84"/>
  <c r="C48" i="84" s="1"/>
  <c r="E163" i="53"/>
  <c r="E230" i="53"/>
  <c r="E238" i="53"/>
  <c r="E171" i="53"/>
  <c r="D268" i="55"/>
  <c r="B155" i="55"/>
  <c r="D214" i="55" s="1"/>
  <c r="B154" i="55"/>
  <c r="D213" i="55" s="1"/>
  <c r="D267" i="55"/>
  <c r="E92" i="55"/>
  <c r="B153" i="55"/>
  <c r="D212" i="55" s="1"/>
  <c r="D266" i="55"/>
  <c r="E117" i="83"/>
  <c r="E48" i="53"/>
  <c r="E101" i="53" s="1"/>
  <c r="E37" i="53"/>
  <c r="E90" i="53" s="1"/>
  <c r="E106" i="83"/>
  <c r="E114" i="83"/>
  <c r="E45" i="53"/>
  <c r="E98" i="53" s="1"/>
  <c r="D60" i="83"/>
  <c r="C49" i="55"/>
  <c r="C106" i="55" s="1"/>
  <c r="B45" i="84"/>
  <c r="B39" i="84"/>
  <c r="E116" i="83"/>
  <c r="E47" i="53"/>
  <c r="E100" i="53" s="1"/>
  <c r="E105" i="83"/>
  <c r="E36" i="53"/>
  <c r="E89" i="53" s="1"/>
  <c r="B147" i="55"/>
  <c r="D206" i="55" s="1"/>
  <c r="D260" i="55"/>
  <c r="D273" i="55"/>
  <c r="B160" i="55"/>
  <c r="D219" i="55" s="1"/>
  <c r="D263" i="55"/>
  <c r="B150" i="55"/>
  <c r="D209" i="55" s="1"/>
  <c r="E37" i="55"/>
  <c r="E94" i="55" s="1"/>
  <c r="F48" i="83"/>
  <c r="E43" i="55"/>
  <c r="E100" i="55" s="1"/>
  <c r="F54" i="83"/>
  <c r="E239" i="53"/>
  <c r="E175" i="53"/>
  <c r="D262" i="55"/>
  <c r="B149" i="55"/>
  <c r="D208" i="55" s="1"/>
  <c r="E111" i="83"/>
  <c r="E42" i="53"/>
  <c r="E95" i="53" s="1"/>
  <c r="E108" i="83"/>
  <c r="E39" i="53"/>
  <c r="E92" i="53" s="1"/>
  <c r="E50" i="53"/>
  <c r="E103" i="53" s="1"/>
  <c r="E119" i="83"/>
  <c r="D57" i="83"/>
  <c r="C46" i="55"/>
  <c r="C103" i="55" s="1"/>
  <c r="D56" i="83"/>
  <c r="C45" i="55"/>
  <c r="C102" i="55" s="1"/>
  <c r="G46" i="83"/>
  <c r="F35" i="55"/>
  <c r="D55" i="83"/>
  <c r="C44" i="55"/>
  <c r="C101" i="55" s="1"/>
  <c r="C37" i="84"/>
  <c r="C65" i="84" s="1"/>
  <c r="D98" i="83"/>
  <c r="E169" i="53"/>
  <c r="E236" i="53"/>
  <c r="E51" i="53"/>
  <c r="E104" i="53" s="1"/>
  <c r="F172" i="53" s="1"/>
  <c r="E120" i="83"/>
  <c r="E233" i="53"/>
  <c r="E166" i="53"/>
  <c r="D75" i="83"/>
  <c r="C14" i="84"/>
  <c r="E235" i="53"/>
  <c r="E168" i="53"/>
  <c r="E157" i="53"/>
  <c r="E224" i="53"/>
  <c r="C33" i="84"/>
  <c r="D94" i="83"/>
  <c r="E123" i="83"/>
  <c r="E54" i="53"/>
  <c r="E107" i="53" s="1"/>
  <c r="D51" i="83"/>
  <c r="C40" i="55"/>
  <c r="C97" i="55" s="1"/>
  <c r="E227" i="53"/>
  <c r="E160" i="53"/>
  <c r="C31" i="84"/>
  <c r="D92" i="83"/>
  <c r="D63" i="83"/>
  <c r="C52" i="55"/>
  <c r="C109" i="55" s="1"/>
  <c r="C27" i="84"/>
  <c r="C58" i="84" s="1"/>
  <c r="D88" i="83"/>
  <c r="C47" i="55"/>
  <c r="C104" i="55" s="1"/>
  <c r="D58" i="83"/>
  <c r="D47" i="83"/>
  <c r="C36" i="55"/>
  <c r="D59" i="83"/>
  <c r="C48" i="55"/>
  <c r="C105" i="55" s="1"/>
  <c r="F82" i="83"/>
  <c r="E21" i="84"/>
  <c r="E52" i="84" s="1"/>
  <c r="E165" i="53"/>
  <c r="E232" i="53"/>
  <c r="E234" i="53"/>
  <c r="E167" i="53"/>
  <c r="D96" i="83"/>
  <c r="C35" i="84"/>
  <c r="C63" i="84" s="1"/>
  <c r="C30" i="84"/>
  <c r="C61" i="84" s="1"/>
  <c r="D91" i="83"/>
  <c r="E237" i="53"/>
  <c r="E170" i="53"/>
  <c r="E241" i="53"/>
  <c r="E177" i="53"/>
  <c r="E231" i="53"/>
  <c r="E164" i="53"/>
  <c r="E155" i="53"/>
  <c r="E222" i="53"/>
  <c r="C23" i="84"/>
  <c r="C54" i="84" s="1"/>
  <c r="D84" i="83"/>
  <c r="E242" i="53"/>
  <c r="E178" i="53"/>
  <c r="D83" i="83"/>
  <c r="C22" i="84"/>
  <c r="C53" i="84" s="1"/>
  <c r="E159" i="53"/>
  <c r="E226" i="53"/>
  <c r="D93" i="83"/>
  <c r="C32" i="84"/>
  <c r="C39" i="55"/>
  <c r="C96" i="55" s="1"/>
  <c r="D50" i="83"/>
  <c r="D79" i="83"/>
  <c r="C18" i="84"/>
  <c r="C49" i="84" s="1"/>
  <c r="D95" i="83"/>
  <c r="C34" i="84"/>
  <c r="C62" i="84" s="1"/>
  <c r="D61" i="83"/>
  <c r="C50" i="55"/>
  <c r="C107" i="55" s="1"/>
  <c r="D68" i="83"/>
  <c r="C57" i="55"/>
  <c r="C114" i="55" s="1"/>
  <c r="C58" i="55"/>
  <c r="C115" i="55" s="1"/>
  <c r="D69" i="83"/>
  <c r="E122" i="83"/>
  <c r="E53" i="53"/>
  <c r="E106" i="53" s="1"/>
  <c r="F174" i="53" s="1"/>
  <c r="D70" i="83"/>
  <c r="C59" i="55"/>
  <c r="C116" i="55" s="1"/>
  <c r="D77" i="83"/>
  <c r="C16" i="84"/>
  <c r="C47" i="84" s="1"/>
  <c r="B165" i="55"/>
  <c r="D224" i="55" s="1"/>
  <c r="D275" i="55"/>
  <c r="E240" i="53"/>
  <c r="E176" i="53"/>
  <c r="D89" i="83"/>
  <c r="C28" i="84"/>
  <c r="C59" i="84" s="1"/>
  <c r="C19" i="84"/>
  <c r="C50" i="84" s="1"/>
  <c r="D80" i="83"/>
  <c r="D274" i="55"/>
  <c r="B161" i="55"/>
  <c r="D220" i="55" s="1"/>
  <c r="D269" i="55"/>
  <c r="B156" i="55"/>
  <c r="D215" i="55" s="1"/>
  <c r="B93" i="55"/>
  <c r="B61" i="55"/>
  <c r="D270" i="55"/>
  <c r="B157" i="55"/>
  <c r="D216" i="55" s="1"/>
  <c r="E44" i="53"/>
  <c r="E97" i="53" s="1"/>
  <c r="E113" i="83"/>
  <c r="E115" i="83"/>
  <c r="E46" i="53"/>
  <c r="E99" i="53" s="1"/>
  <c r="E52" i="53"/>
  <c r="E105" i="53" s="1"/>
  <c r="F173" i="53" s="1"/>
  <c r="E121" i="83"/>
  <c r="E118" i="83"/>
  <c r="E49" i="53"/>
  <c r="E102" i="53" s="1"/>
  <c r="E125" i="83"/>
  <c r="E56" i="53"/>
  <c r="E109" i="53" s="1"/>
  <c r="E112" i="83"/>
  <c r="E43" i="53"/>
  <c r="E96" i="53" s="1"/>
  <c r="E103" i="83"/>
  <c r="E34" i="53"/>
  <c r="E87" i="53" s="1"/>
  <c r="F257" i="55"/>
  <c r="D144" i="55"/>
  <c r="F203" i="55" s="1"/>
  <c r="E57" i="53"/>
  <c r="E110" i="53" s="1"/>
  <c r="E126" i="83"/>
  <c r="E107" i="83"/>
  <c r="E38" i="53"/>
  <c r="E91" i="53" s="1"/>
  <c r="D261" i="55"/>
  <c r="B148" i="55"/>
  <c r="D207" i="55" s="1"/>
  <c r="B99" i="84"/>
  <c r="B110" i="84" s="1"/>
  <c r="B101" i="84"/>
  <c r="B112" i="84" s="1"/>
  <c r="D125" i="84" s="1"/>
  <c r="D133" i="84"/>
  <c r="B100" i="84"/>
  <c r="B111" i="84" s="1"/>
  <c r="D124" i="84" s="1"/>
  <c r="D136" i="84"/>
  <c r="D132" i="84"/>
  <c r="B159" i="55"/>
  <c r="D218" i="55" s="1"/>
  <c r="D272" i="55"/>
  <c r="B166" i="55"/>
  <c r="D225" i="55" s="1"/>
  <c r="D276" i="55"/>
  <c r="D277" i="55"/>
  <c r="B167" i="55"/>
  <c r="D226" i="55" s="1"/>
  <c r="D278" i="55"/>
  <c r="B168" i="55"/>
  <c r="D227" i="55" s="1"/>
  <c r="D67" i="83"/>
  <c r="C56" i="55"/>
  <c r="C113" i="55" s="1"/>
  <c r="E124" i="83"/>
  <c r="E55" i="53"/>
  <c r="E108" i="53" s="1"/>
  <c r="D101" i="81"/>
  <c r="C114" i="53"/>
  <c r="D245" i="53" s="1"/>
  <c r="J9" i="29"/>
  <c r="I58" i="29"/>
  <c r="H94" i="22"/>
  <c r="H41" i="84"/>
  <c r="G44" i="84"/>
  <c r="G51" i="84"/>
  <c r="L66" i="22"/>
  <c r="M56" i="22"/>
  <c r="N53" i="22" s="1"/>
  <c r="N54" i="22" s="1"/>
  <c r="N55" i="22" s="1"/>
  <c r="G58" i="29"/>
  <c r="H9" i="29"/>
  <c r="H94" i="29"/>
  <c r="G108" i="29"/>
  <c r="F94" i="22"/>
  <c r="E94" i="29"/>
  <c r="E9" i="29"/>
  <c r="C94" i="22"/>
  <c r="D58" i="29"/>
  <c r="D108" i="29"/>
  <c r="D43" i="29"/>
  <c r="D94" i="29"/>
  <c r="B94" i="22"/>
  <c r="C58" i="29"/>
  <c r="D9" i="29"/>
  <c r="C108" i="29"/>
  <c r="D50" i="22"/>
  <c r="D63" i="22"/>
  <c r="C13" i="69" s="1"/>
  <c r="C15" i="69" s="1"/>
  <c r="L65" i="22"/>
  <c r="E49" i="22"/>
  <c r="D65" i="22"/>
  <c r="M48" i="22"/>
  <c r="M64" i="22" s="1"/>
  <c r="C95" i="22" s="1"/>
  <c r="M63" i="22"/>
  <c r="G162" i="29"/>
  <c r="G43" i="29"/>
  <c r="C119" i="53"/>
  <c r="D251" i="53" s="1"/>
  <c r="G147" i="29"/>
  <c r="G23" i="68"/>
  <c r="G177" i="29"/>
  <c r="G132" i="29"/>
  <c r="K21" i="22"/>
  <c r="K19" i="22"/>
  <c r="K16" i="22"/>
  <c r="K14" i="22"/>
  <c r="K12" i="22"/>
  <c r="K8" i="22"/>
  <c r="K20" i="22"/>
  <c r="K17" i="22"/>
  <c r="K22" i="22"/>
  <c r="K18" i="22"/>
  <c r="K15" i="22"/>
  <c r="K13" i="22"/>
  <c r="K9" i="22"/>
  <c r="J23" i="22"/>
  <c r="G35" i="21" s="1"/>
  <c r="G36" i="21" s="1"/>
  <c r="H43" i="29" s="1"/>
  <c r="C118" i="53"/>
  <c r="D187" i="53" s="1"/>
  <c r="C115" i="53"/>
  <c r="D246" i="53" s="1"/>
  <c r="B122" i="55"/>
  <c r="D180" i="55" s="1"/>
  <c r="C116" i="53"/>
  <c r="D184" i="53" s="1"/>
  <c r="B68" i="55"/>
  <c r="B120" i="55" s="1"/>
  <c r="D178" i="55" s="1"/>
  <c r="D47" i="81"/>
  <c r="C16" i="55"/>
  <c r="C73" i="55" s="1"/>
  <c r="D216" i="53"/>
  <c r="D149" i="53"/>
  <c r="E99" i="81"/>
  <c r="E16" i="53"/>
  <c r="E69" i="53" s="1"/>
  <c r="D49" i="81"/>
  <c r="C18" i="55"/>
  <c r="C75" i="55" s="1"/>
  <c r="E135" i="53"/>
  <c r="E202" i="53"/>
  <c r="E93" i="81"/>
  <c r="E10" i="53"/>
  <c r="E63" i="53" s="1"/>
  <c r="C60" i="81"/>
  <c r="B29" i="55"/>
  <c r="B86" i="55" s="1"/>
  <c r="D67" i="81"/>
  <c r="C13" i="72"/>
  <c r="C37" i="72" s="1"/>
  <c r="B79" i="72"/>
  <c r="B78" i="72"/>
  <c r="D141" i="72" s="1"/>
  <c r="D154" i="72"/>
  <c r="B70" i="72"/>
  <c r="D142" i="72" s="1"/>
  <c r="D155" i="72"/>
  <c r="B71" i="72"/>
  <c r="E96" i="81"/>
  <c r="E13" i="53"/>
  <c r="E66" i="53" s="1"/>
  <c r="E12" i="53"/>
  <c r="E65" i="53" s="1"/>
  <c r="E95" i="81"/>
  <c r="D238" i="55"/>
  <c r="B125" i="55"/>
  <c r="D183" i="55" s="1"/>
  <c r="D75" i="81"/>
  <c r="C21" i="72"/>
  <c r="C45" i="72" s="1"/>
  <c r="D111" i="81"/>
  <c r="D28" i="53"/>
  <c r="D81" i="53" s="1"/>
  <c r="B127" i="55"/>
  <c r="D185" i="55" s="1"/>
  <c r="D240" i="55"/>
  <c r="E14" i="53"/>
  <c r="E67" i="53" s="1"/>
  <c r="E97" i="81"/>
  <c r="D72" i="81"/>
  <c r="C18" i="72"/>
  <c r="C42" i="72" s="1"/>
  <c r="C11" i="55"/>
  <c r="C68" i="55" s="1"/>
  <c r="D42" i="81"/>
  <c r="E200" i="53"/>
  <c r="E133" i="53"/>
  <c r="D71" i="81"/>
  <c r="C17" i="72"/>
  <c r="C41" i="72" s="1"/>
  <c r="D69" i="81"/>
  <c r="C15" i="72"/>
  <c r="C39" i="72" s="1"/>
  <c r="C15" i="55"/>
  <c r="C72" i="55" s="1"/>
  <c r="D46" i="81"/>
  <c r="D50" i="81"/>
  <c r="C19" i="55"/>
  <c r="C76" i="55" s="1"/>
  <c r="D236" i="55"/>
  <c r="B123" i="55"/>
  <c r="D181" i="55" s="1"/>
  <c r="C84" i="81"/>
  <c r="B30" i="72"/>
  <c r="B54" i="72" s="1"/>
  <c r="B121" i="55"/>
  <c r="D179" i="55" s="1"/>
  <c r="D234" i="55"/>
  <c r="D148" i="53"/>
  <c r="D215" i="53"/>
  <c r="E199" i="53"/>
  <c r="E132" i="53"/>
  <c r="C14" i="72"/>
  <c r="C38" i="72" s="1"/>
  <c r="D68" i="81"/>
  <c r="E203" i="53"/>
  <c r="E136" i="53"/>
  <c r="D44" i="81"/>
  <c r="C13" i="55"/>
  <c r="C70" i="55" s="1"/>
  <c r="C122" i="55" s="1"/>
  <c r="C17" i="55"/>
  <c r="C74" i="55" s="1"/>
  <c r="D48" i="81"/>
  <c r="E204" i="53"/>
  <c r="E137" i="53"/>
  <c r="E198" i="53"/>
  <c r="E131" i="53"/>
  <c r="B31" i="72"/>
  <c r="B55" i="72" s="1"/>
  <c r="C85" i="81"/>
  <c r="D74" i="81"/>
  <c r="C20" i="72"/>
  <c r="C44" i="72" s="1"/>
  <c r="D70" i="81"/>
  <c r="C16" i="72"/>
  <c r="C40" i="72" s="1"/>
  <c r="E134" i="53"/>
  <c r="E201" i="53"/>
  <c r="B124" i="55"/>
  <c r="D182" i="55" s="1"/>
  <c r="D237" i="55"/>
  <c r="C19" i="72"/>
  <c r="C43" i="72" s="1"/>
  <c r="D73" i="81"/>
  <c r="B128" i="55"/>
  <c r="D186" i="55" s="1"/>
  <c r="D241" i="55"/>
  <c r="D45" i="81"/>
  <c r="C14" i="55"/>
  <c r="C71" i="55" s="1"/>
  <c r="B28" i="55"/>
  <c r="B85" i="55" s="1"/>
  <c r="C59" i="81"/>
  <c r="C12" i="55"/>
  <c r="C69" i="55" s="1"/>
  <c r="D43" i="81"/>
  <c r="D27" i="53"/>
  <c r="D80" i="53" s="1"/>
  <c r="D110" i="81"/>
  <c r="E11" i="53"/>
  <c r="E64" i="53" s="1"/>
  <c r="E94" i="81"/>
  <c r="B64" i="72"/>
  <c r="D153" i="72"/>
  <c r="B63" i="72"/>
  <c r="D140" i="72" s="1"/>
  <c r="E98" i="81"/>
  <c r="E15" i="53"/>
  <c r="E68" i="53" s="1"/>
  <c r="B126" i="55"/>
  <c r="D184" i="55" s="1"/>
  <c r="D239" i="55"/>
  <c r="F92" i="81"/>
  <c r="F9" i="53"/>
  <c r="F62" i="53" s="1"/>
  <c r="F197" i="53"/>
  <c r="F130" i="53"/>
  <c r="D79" i="81"/>
  <c r="C25" i="72"/>
  <c r="C49" i="72" s="1"/>
  <c r="E244" i="55"/>
  <c r="C131" i="55"/>
  <c r="E189" i="55" s="1"/>
  <c r="C26" i="72"/>
  <c r="C50" i="72" s="1"/>
  <c r="D80" i="81"/>
  <c r="E146" i="53"/>
  <c r="E213" i="53"/>
  <c r="D56" i="81"/>
  <c r="C25" i="55"/>
  <c r="C82" i="55" s="1"/>
  <c r="F208" i="53"/>
  <c r="F141" i="53"/>
  <c r="E212" i="53"/>
  <c r="E145" i="53"/>
  <c r="E18" i="53"/>
  <c r="E71" i="53" s="1"/>
  <c r="E101" i="81"/>
  <c r="E144" i="53"/>
  <c r="E211" i="53"/>
  <c r="D83" i="81"/>
  <c r="C29" i="72"/>
  <c r="C53" i="72" s="1"/>
  <c r="D62" i="81"/>
  <c r="C31" i="55"/>
  <c r="C88" i="55" s="1"/>
  <c r="E53" i="81"/>
  <c r="D22" i="55"/>
  <c r="D79" i="55" s="1"/>
  <c r="E25" i="53"/>
  <c r="E78" i="53" s="1"/>
  <c r="E108" i="81"/>
  <c r="B134" i="55"/>
  <c r="D192" i="55" s="1"/>
  <c r="D247" i="55"/>
  <c r="B132" i="55"/>
  <c r="D190" i="55" s="1"/>
  <c r="D245" i="55"/>
  <c r="E252" i="55"/>
  <c r="C139" i="55"/>
  <c r="E197" i="55" s="1"/>
  <c r="E61" i="81"/>
  <c r="D30" i="55"/>
  <c r="D87" i="55" s="1"/>
  <c r="D52" i="81"/>
  <c r="C21" i="55"/>
  <c r="C78" i="55" s="1"/>
  <c r="D55" i="81"/>
  <c r="C24" i="55"/>
  <c r="C81" i="55" s="1"/>
  <c r="E210" i="53"/>
  <c r="E143" i="53"/>
  <c r="B77" i="55"/>
  <c r="D54" i="81"/>
  <c r="C23" i="55"/>
  <c r="C80" i="55" s="1"/>
  <c r="F103" i="81"/>
  <c r="F20" i="53"/>
  <c r="F73" i="53" s="1"/>
  <c r="E107" i="81"/>
  <c r="E24" i="53"/>
  <c r="E77" i="53" s="1"/>
  <c r="E206" i="53"/>
  <c r="E139" i="53"/>
  <c r="E106" i="81"/>
  <c r="E23" i="53"/>
  <c r="E76" i="53" s="1"/>
  <c r="C23" i="72"/>
  <c r="C47" i="72" s="1"/>
  <c r="D77" i="81"/>
  <c r="B140" i="55"/>
  <c r="D198" i="55" s="1"/>
  <c r="D253" i="55"/>
  <c r="E217" i="53"/>
  <c r="E150" i="53"/>
  <c r="D82" i="81"/>
  <c r="C28" i="72"/>
  <c r="C52" i="72" s="1"/>
  <c r="E140" i="53"/>
  <c r="E207" i="53"/>
  <c r="D57" i="81"/>
  <c r="C26" i="55"/>
  <c r="C83" i="55" s="1"/>
  <c r="D58" i="81"/>
  <c r="C27" i="55"/>
  <c r="C84" i="55" s="1"/>
  <c r="D76" i="81"/>
  <c r="C22" i="72"/>
  <c r="E142" i="53"/>
  <c r="E209" i="53"/>
  <c r="B130" i="55"/>
  <c r="D188" i="55" s="1"/>
  <c r="D243" i="55"/>
  <c r="B133" i="55"/>
  <c r="D191" i="55" s="1"/>
  <c r="D246" i="55"/>
  <c r="D152" i="72"/>
  <c r="B95" i="72"/>
  <c r="B96" i="72"/>
  <c r="E22" i="53"/>
  <c r="E75" i="53" s="1"/>
  <c r="E105" i="81"/>
  <c r="C20" i="55"/>
  <c r="D51" i="81"/>
  <c r="E112" i="81"/>
  <c r="E29" i="53"/>
  <c r="E82" i="53" s="1"/>
  <c r="E102" i="81"/>
  <c r="E19" i="53"/>
  <c r="E72" i="53" s="1"/>
  <c r="B135" i="55"/>
  <c r="D193" i="55" s="1"/>
  <c r="D248" i="55"/>
  <c r="E78" i="81"/>
  <c r="D24" i="72"/>
  <c r="D48" i="72" s="1"/>
  <c r="B136" i="55"/>
  <c r="D194" i="55" s="1"/>
  <c r="D249" i="55"/>
  <c r="B46" i="72"/>
  <c r="D81" i="81"/>
  <c r="C27" i="72"/>
  <c r="C51" i="72" s="1"/>
  <c r="E104" i="81"/>
  <c r="E21" i="53"/>
  <c r="E74" i="53" s="1"/>
  <c r="O62" i="22"/>
  <c r="P59" i="22" s="1"/>
  <c r="O42" i="22"/>
  <c r="O43" i="22" s="1"/>
  <c r="G37" i="22"/>
  <c r="D11" i="23"/>
  <c r="N36" i="22"/>
  <c r="E38" i="22"/>
  <c r="I170" i="29" l="1"/>
  <c r="I32" i="29"/>
  <c r="I155" i="29"/>
  <c r="I140" i="29"/>
  <c r="I125" i="29"/>
  <c r="H20" i="21"/>
  <c r="K51" i="61"/>
  <c r="J43" i="42"/>
  <c r="J45" i="42" s="1"/>
  <c r="H32" i="29"/>
  <c r="H155" i="29"/>
  <c r="H170" i="29"/>
  <c r="H140" i="29"/>
  <c r="H125" i="29"/>
  <c r="D182" i="53"/>
  <c r="F222" i="53"/>
  <c r="F155" i="53"/>
  <c r="F121" i="83"/>
  <c r="F52" i="53"/>
  <c r="F105" i="53" s="1"/>
  <c r="G173" i="53" s="1"/>
  <c r="F113" i="83"/>
  <c r="F44" i="53"/>
  <c r="F97" i="53" s="1"/>
  <c r="E69" i="83"/>
  <c r="D58" i="55"/>
  <c r="D115" i="55" s="1"/>
  <c r="E270" i="55"/>
  <c r="C157" i="55"/>
  <c r="E216" i="55" s="1"/>
  <c r="E274" i="55"/>
  <c r="C161" i="55"/>
  <c r="E220" i="55" s="1"/>
  <c r="E98" i="83"/>
  <c r="D37" i="84"/>
  <c r="D65" i="84" s="1"/>
  <c r="F235" i="53"/>
  <c r="F168" i="53"/>
  <c r="E273" i="55"/>
  <c r="C160" i="55"/>
  <c r="E219" i="55" s="1"/>
  <c r="E67" i="83"/>
  <c r="D56" i="55"/>
  <c r="D113" i="55" s="1"/>
  <c r="B145" i="55"/>
  <c r="D204" i="55" s="1"/>
  <c r="D258" i="55"/>
  <c r="E89" i="83"/>
  <c r="D28" i="84"/>
  <c r="D59" i="84" s="1"/>
  <c r="E83" i="83"/>
  <c r="D22" i="84"/>
  <c r="D53" i="84" s="1"/>
  <c r="E275" i="55"/>
  <c r="C165" i="55"/>
  <c r="E224" i="55" s="1"/>
  <c r="F177" i="53"/>
  <c r="F241" i="53"/>
  <c r="E272" i="55"/>
  <c r="C159" i="55"/>
  <c r="E218" i="55" s="1"/>
  <c r="D23" i="84"/>
  <c r="D54" i="84" s="1"/>
  <c r="E84" i="83"/>
  <c r="E58" i="83"/>
  <c r="D47" i="55"/>
  <c r="D104" i="55" s="1"/>
  <c r="F239" i="53"/>
  <c r="F175" i="53"/>
  <c r="F120" i="83"/>
  <c r="F51" i="53"/>
  <c r="F104" i="53" s="1"/>
  <c r="G172" i="53" s="1"/>
  <c r="F92" i="55"/>
  <c r="F227" i="53"/>
  <c r="F160" i="53"/>
  <c r="G54" i="83"/>
  <c r="F43" i="55"/>
  <c r="F100" i="55" s="1"/>
  <c r="E271" i="55"/>
  <c r="C158" i="55"/>
  <c r="E217" i="55" s="1"/>
  <c r="F103" i="83"/>
  <c r="F34" i="53"/>
  <c r="F87" i="53" s="1"/>
  <c r="E61" i="83"/>
  <c r="D50" i="55"/>
  <c r="D107" i="55" s="1"/>
  <c r="E93" i="83"/>
  <c r="D32" i="84"/>
  <c r="E96" i="83"/>
  <c r="D35" i="84"/>
  <c r="D63" i="84" s="1"/>
  <c r="E63" i="83"/>
  <c r="D52" i="55"/>
  <c r="D109" i="55" s="1"/>
  <c r="E57" i="83"/>
  <c r="D46" i="55"/>
  <c r="D103" i="55" s="1"/>
  <c r="E60" i="83"/>
  <c r="D49" i="55"/>
  <c r="D106" i="55" s="1"/>
  <c r="E85" i="83"/>
  <c r="D24" i="84"/>
  <c r="D55" i="84" s="1"/>
  <c r="F240" i="53"/>
  <c r="F176" i="53"/>
  <c r="F164" i="53"/>
  <c r="F231" i="53"/>
  <c r="F234" i="53"/>
  <c r="F167" i="53"/>
  <c r="D19" i="84"/>
  <c r="D50" i="84" s="1"/>
  <c r="E80" i="83"/>
  <c r="E276" i="55"/>
  <c r="C166" i="55"/>
  <c r="E225" i="55" s="1"/>
  <c r="E133" i="84"/>
  <c r="C99" i="84"/>
  <c r="C110" i="84" s="1"/>
  <c r="C101" i="84"/>
  <c r="C112" i="84" s="1"/>
  <c r="E125" i="84" s="1"/>
  <c r="C100" i="84"/>
  <c r="C111" i="84" s="1"/>
  <c r="E124" i="84" s="1"/>
  <c r="E136" i="84"/>
  <c r="E132" i="84"/>
  <c r="E50" i="83"/>
  <c r="D39" i="55"/>
  <c r="D96" i="55" s="1"/>
  <c r="E91" i="83"/>
  <c r="D30" i="84"/>
  <c r="D61" i="84" s="1"/>
  <c r="C93" i="55"/>
  <c r="C61" i="55"/>
  <c r="D27" i="84"/>
  <c r="D58" i="84" s="1"/>
  <c r="E88" i="83"/>
  <c r="E92" i="83"/>
  <c r="D31" i="84"/>
  <c r="E262" i="55"/>
  <c r="C149" i="55"/>
  <c r="E208" i="55" s="1"/>
  <c r="E94" i="83"/>
  <c r="D33" i="84"/>
  <c r="E266" i="55"/>
  <c r="C153" i="55"/>
  <c r="E212" i="55" s="1"/>
  <c r="E267" i="55"/>
  <c r="C154" i="55"/>
  <c r="E213" i="55" s="1"/>
  <c r="F119" i="83"/>
  <c r="F50" i="53"/>
  <c r="F103" i="53" s="1"/>
  <c r="F230" i="53"/>
  <c r="F163" i="53"/>
  <c r="G48" i="83"/>
  <c r="F37" i="55"/>
  <c r="F94" i="55" s="1"/>
  <c r="F224" i="53"/>
  <c r="F157" i="53"/>
  <c r="B12" i="84"/>
  <c r="B42" i="84"/>
  <c r="F166" i="53"/>
  <c r="F233" i="53"/>
  <c r="F236" i="53"/>
  <c r="F169" i="53"/>
  <c r="G257" i="55"/>
  <c r="E144" i="55"/>
  <c r="G203" i="55" s="1"/>
  <c r="E263" i="55"/>
  <c r="C150" i="55"/>
  <c r="E209" i="55" s="1"/>
  <c r="C147" i="55"/>
  <c r="E206" i="55" s="1"/>
  <c r="E260" i="55"/>
  <c r="F57" i="53"/>
  <c r="F110" i="53" s="1"/>
  <c r="F126" i="83"/>
  <c r="E278" i="55"/>
  <c r="C168" i="55"/>
  <c r="E227" i="55" s="1"/>
  <c r="C39" i="84"/>
  <c r="C45" i="84"/>
  <c r="E268" i="55"/>
  <c r="C155" i="55"/>
  <c r="E214" i="55" s="1"/>
  <c r="F106" i="83"/>
  <c r="F37" i="53"/>
  <c r="F90" i="53" s="1"/>
  <c r="F242" i="53"/>
  <c r="F178" i="53"/>
  <c r="F56" i="53"/>
  <c r="F109" i="53" s="1"/>
  <c r="F125" i="83"/>
  <c r="F232" i="53"/>
  <c r="F165" i="53"/>
  <c r="E70" i="83"/>
  <c r="D59" i="55"/>
  <c r="D116" i="55" s="1"/>
  <c r="E277" i="55"/>
  <c r="C167" i="55"/>
  <c r="E226" i="55" s="1"/>
  <c r="E79" i="83"/>
  <c r="D18" i="84"/>
  <c r="D49" i="84" s="1"/>
  <c r="E59" i="83"/>
  <c r="D48" i="55"/>
  <c r="D105" i="55" s="1"/>
  <c r="E269" i="55"/>
  <c r="C156" i="55"/>
  <c r="E215" i="55" s="1"/>
  <c r="F123" i="83"/>
  <c r="F54" i="53"/>
  <c r="F107" i="53" s="1"/>
  <c r="E75" i="83"/>
  <c r="D14" i="84"/>
  <c r="G35" i="55"/>
  <c r="H46" i="83"/>
  <c r="H35" i="55" s="1"/>
  <c r="F108" i="83"/>
  <c r="F39" i="53"/>
  <c r="F92" i="53" s="1"/>
  <c r="G265" i="55"/>
  <c r="E152" i="55"/>
  <c r="G211" i="55" s="1"/>
  <c r="F116" i="83"/>
  <c r="F47" i="53"/>
  <c r="F100" i="53" s="1"/>
  <c r="F158" i="53"/>
  <c r="F225" i="53"/>
  <c r="D17" i="84"/>
  <c r="D48" i="84" s="1"/>
  <c r="E78" i="83"/>
  <c r="E62" i="83"/>
  <c r="D51" i="55"/>
  <c r="D108" i="55" s="1"/>
  <c r="E87" i="83"/>
  <c r="D26" i="84"/>
  <c r="D57" i="84" s="1"/>
  <c r="E97" i="83"/>
  <c r="D36" i="84"/>
  <c r="D64" i="84" s="1"/>
  <c r="F226" i="53"/>
  <c r="F159" i="53"/>
  <c r="F237" i="53"/>
  <c r="F170" i="53"/>
  <c r="F124" i="83"/>
  <c r="F55" i="53"/>
  <c r="F108" i="53" s="1"/>
  <c r="D123" i="84"/>
  <c r="D128" i="84" s="1"/>
  <c r="D137" i="84"/>
  <c r="D138" i="84"/>
  <c r="F107" i="83"/>
  <c r="F38" i="53"/>
  <c r="F91" i="53" s="1"/>
  <c r="F112" i="83"/>
  <c r="F43" i="53"/>
  <c r="F96" i="53" s="1"/>
  <c r="F49" i="53"/>
  <c r="F102" i="53" s="1"/>
  <c r="F118" i="83"/>
  <c r="F115" i="83"/>
  <c r="F46" i="53"/>
  <c r="F99" i="53" s="1"/>
  <c r="E77" i="83"/>
  <c r="D16" i="84"/>
  <c r="D47" i="84" s="1"/>
  <c r="F122" i="83"/>
  <c r="F53" i="53"/>
  <c r="F106" i="53" s="1"/>
  <c r="G174" i="53" s="1"/>
  <c r="E68" i="83"/>
  <c r="D57" i="55"/>
  <c r="D114" i="55" s="1"/>
  <c r="E95" i="83"/>
  <c r="D34" i="84"/>
  <c r="D62" i="84" s="1"/>
  <c r="E261" i="55"/>
  <c r="C148" i="55"/>
  <c r="E207" i="55" s="1"/>
  <c r="F21" i="84"/>
  <c r="F52" i="84" s="1"/>
  <c r="G82" i="83"/>
  <c r="E47" i="83"/>
  <c r="D36" i="55"/>
  <c r="E51" i="83"/>
  <c r="D40" i="55"/>
  <c r="D97" i="55" s="1"/>
  <c r="E55" i="83"/>
  <c r="D44" i="55"/>
  <c r="D101" i="55" s="1"/>
  <c r="E56" i="83"/>
  <c r="D45" i="55"/>
  <c r="D102" i="55" s="1"/>
  <c r="F238" i="53"/>
  <c r="F171" i="53"/>
  <c r="F111" i="83"/>
  <c r="F42" i="53"/>
  <c r="F95" i="53" s="1"/>
  <c r="G259" i="55"/>
  <c r="E146" i="55"/>
  <c r="G205" i="55" s="1"/>
  <c r="F36" i="53"/>
  <c r="F89" i="53" s="1"/>
  <c r="F105" i="83"/>
  <c r="F114" i="83"/>
  <c r="F45" i="53"/>
  <c r="F98" i="53" s="1"/>
  <c r="F117" i="83"/>
  <c r="F48" i="53"/>
  <c r="F101" i="53" s="1"/>
  <c r="E52" i="83"/>
  <c r="D41" i="55"/>
  <c r="D98" i="55" s="1"/>
  <c r="D38" i="55"/>
  <c r="D95" i="55" s="1"/>
  <c r="E49" i="83"/>
  <c r="D25" i="84"/>
  <c r="D56" i="84" s="1"/>
  <c r="E86" i="83"/>
  <c r="F15" i="84"/>
  <c r="F46" i="84" s="1"/>
  <c r="G76" i="83"/>
  <c r="D29" i="84"/>
  <c r="D60" i="84" s="1"/>
  <c r="E90" i="83"/>
  <c r="D188" i="53"/>
  <c r="D250" i="53"/>
  <c r="H44" i="84"/>
  <c r="H51" i="84"/>
  <c r="F49" i="22"/>
  <c r="E65" i="22"/>
  <c r="E47" i="22"/>
  <c r="D66" i="22"/>
  <c r="M50" i="22"/>
  <c r="M49" i="22"/>
  <c r="D183" i="53"/>
  <c r="H177" i="29"/>
  <c r="H147" i="29"/>
  <c r="H162" i="29"/>
  <c r="H23" i="68"/>
  <c r="H132" i="29"/>
  <c r="K23" i="22"/>
  <c r="H35" i="21" s="1"/>
  <c r="H36" i="21" s="1"/>
  <c r="I43" i="29" s="1"/>
  <c r="D247" i="53"/>
  <c r="D253" i="53"/>
  <c r="D254" i="53"/>
  <c r="D116" i="53"/>
  <c r="E247" i="53" s="1"/>
  <c r="D233" i="55"/>
  <c r="N37" i="22"/>
  <c r="N56" i="22"/>
  <c r="O53" i="22" s="1"/>
  <c r="O44" i="22"/>
  <c r="P41" i="22" s="1"/>
  <c r="P42" i="22" s="1"/>
  <c r="P44" i="22" s="1"/>
  <c r="Q41" i="22" s="1"/>
  <c r="D115" i="53"/>
  <c r="E246" i="53" s="1"/>
  <c r="D118" i="53"/>
  <c r="E187" i="53" s="1"/>
  <c r="B33" i="55"/>
  <c r="B10" i="55" s="1"/>
  <c r="D119" i="53"/>
  <c r="E251" i="53" s="1"/>
  <c r="D114" i="53"/>
  <c r="E182" i="53" s="1"/>
  <c r="B32" i="72"/>
  <c r="B12" i="72" s="1"/>
  <c r="F198" i="53"/>
  <c r="F131" i="53"/>
  <c r="E235" i="55"/>
  <c r="F203" i="53"/>
  <c r="F136" i="53"/>
  <c r="E148" i="53"/>
  <c r="E215" i="53"/>
  <c r="B137" i="55"/>
  <c r="D195" i="55" s="1"/>
  <c r="D250" i="55"/>
  <c r="E70" i="81"/>
  <c r="D16" i="72"/>
  <c r="D40" i="72" s="1"/>
  <c r="D13" i="55"/>
  <c r="D70" i="55" s="1"/>
  <c r="F235" i="55" s="1"/>
  <c r="E44" i="81"/>
  <c r="E153" i="72"/>
  <c r="C63" i="72"/>
  <c r="E140" i="72" s="1"/>
  <c r="C64" i="72"/>
  <c r="D84" i="81"/>
  <c r="C30" i="72"/>
  <c r="C54" i="72" s="1"/>
  <c r="D19" i="55"/>
  <c r="D76" i="55" s="1"/>
  <c r="E50" i="81"/>
  <c r="E69" i="81"/>
  <c r="D15" i="72"/>
  <c r="D39" i="72" s="1"/>
  <c r="D18" i="72"/>
  <c r="D42" i="72" s="1"/>
  <c r="E72" i="81"/>
  <c r="D21" i="72"/>
  <c r="D45" i="72" s="1"/>
  <c r="E75" i="81"/>
  <c r="F200" i="53"/>
  <c r="F133" i="53"/>
  <c r="E67" i="81"/>
  <c r="D13" i="72"/>
  <c r="D37" i="72" s="1"/>
  <c r="F93" i="81"/>
  <c r="F10" i="53"/>
  <c r="F63" i="53" s="1"/>
  <c r="D18" i="55"/>
  <c r="D75" i="55" s="1"/>
  <c r="E49" i="81"/>
  <c r="E110" i="81"/>
  <c r="E27" i="53"/>
  <c r="E80" i="53" s="1"/>
  <c r="E68" i="81"/>
  <c r="D14" i="72"/>
  <c r="D38" i="72" s="1"/>
  <c r="E241" i="55"/>
  <c r="C128" i="55"/>
  <c r="E186" i="55" s="1"/>
  <c r="F98" i="81"/>
  <c r="F15" i="53"/>
  <c r="F68" i="53" s="1"/>
  <c r="F94" i="81"/>
  <c r="F11" i="53"/>
  <c r="F64" i="53" s="1"/>
  <c r="E43" i="81"/>
  <c r="D12" i="55"/>
  <c r="D69" i="55" s="1"/>
  <c r="E236" i="55"/>
  <c r="C123" i="55"/>
  <c r="E181" i="55" s="1"/>
  <c r="E73" i="81"/>
  <c r="D19" i="72"/>
  <c r="D43" i="72" s="1"/>
  <c r="D17" i="55"/>
  <c r="D74" i="55" s="1"/>
  <c r="E48" i="81"/>
  <c r="E46" i="81"/>
  <c r="D15" i="55"/>
  <c r="D72" i="55" s="1"/>
  <c r="D11" i="55"/>
  <c r="D68" i="55" s="1"/>
  <c r="E42" i="81"/>
  <c r="F97" i="81"/>
  <c r="F14" i="53"/>
  <c r="F67" i="53" s="1"/>
  <c r="E149" i="53"/>
  <c r="E216" i="53"/>
  <c r="F201" i="53"/>
  <c r="F134" i="53"/>
  <c r="B138" i="55"/>
  <c r="D196" i="55" s="1"/>
  <c r="D251" i="55"/>
  <c r="F204" i="53"/>
  <c r="F137" i="53"/>
  <c r="C125" i="55"/>
  <c r="E183" i="55" s="1"/>
  <c r="E238" i="55"/>
  <c r="D59" i="81"/>
  <c r="C28" i="55"/>
  <c r="C85" i="55" s="1"/>
  <c r="E155" i="72"/>
  <c r="C70" i="72"/>
  <c r="E142" i="72" s="1"/>
  <c r="C71" i="72"/>
  <c r="C31" i="72"/>
  <c r="C55" i="72" s="1"/>
  <c r="D85" i="81"/>
  <c r="C79" i="72"/>
  <c r="E154" i="72"/>
  <c r="C78" i="72"/>
  <c r="E141" i="72" s="1"/>
  <c r="F95" i="81"/>
  <c r="F12" i="53"/>
  <c r="F65" i="53" s="1"/>
  <c r="E240" i="55"/>
  <c r="C127" i="55"/>
  <c r="E185" i="55" s="1"/>
  <c r="F199" i="53"/>
  <c r="F132" i="53"/>
  <c r="C121" i="55"/>
  <c r="E179" i="55" s="1"/>
  <c r="E234" i="55"/>
  <c r="D14" i="55"/>
  <c r="D71" i="55" s="1"/>
  <c r="E45" i="81"/>
  <c r="D20" i="72"/>
  <c r="D44" i="72" s="1"/>
  <c r="E74" i="81"/>
  <c r="E239" i="55"/>
  <c r="C126" i="55"/>
  <c r="E184" i="55" s="1"/>
  <c r="C124" i="55"/>
  <c r="E182" i="55" s="1"/>
  <c r="E237" i="55"/>
  <c r="D17" i="72"/>
  <c r="D41" i="72" s="1"/>
  <c r="E71" i="81"/>
  <c r="E233" i="55"/>
  <c r="C120" i="55"/>
  <c r="E178" i="55" s="1"/>
  <c r="F202" i="53"/>
  <c r="F135" i="53"/>
  <c r="E28" i="53"/>
  <c r="E81" i="53" s="1"/>
  <c r="E111" i="81"/>
  <c r="F96" i="81"/>
  <c r="F13" i="53"/>
  <c r="F66" i="53" s="1"/>
  <c r="C29" i="55"/>
  <c r="C86" i="55" s="1"/>
  <c r="D60" i="81"/>
  <c r="F99" i="81"/>
  <c r="F16" i="53"/>
  <c r="F69" i="53" s="1"/>
  <c r="E47" i="81"/>
  <c r="D16" i="55"/>
  <c r="D73" i="55" s="1"/>
  <c r="G130" i="53"/>
  <c r="G197" i="53"/>
  <c r="G92" i="81"/>
  <c r="G9" i="53"/>
  <c r="G62" i="53" s="1"/>
  <c r="F22" i="53"/>
  <c r="F75" i="53" s="1"/>
  <c r="F105" i="81"/>
  <c r="E58" i="81"/>
  <c r="D27" i="55"/>
  <c r="D84" i="55" s="1"/>
  <c r="C95" i="72"/>
  <c r="E152" i="72"/>
  <c r="C96" i="72"/>
  <c r="F106" i="81"/>
  <c r="F23" i="53"/>
  <c r="F76" i="53" s="1"/>
  <c r="F213" i="53"/>
  <c r="F146" i="53"/>
  <c r="E79" i="81"/>
  <c r="D25" i="72"/>
  <c r="D49" i="72" s="1"/>
  <c r="F143" i="53"/>
  <c r="F210" i="53"/>
  <c r="E82" i="81"/>
  <c r="D28" i="72"/>
  <c r="D52" i="72" s="1"/>
  <c r="C132" i="55"/>
  <c r="E190" i="55" s="1"/>
  <c r="E245" i="55"/>
  <c r="F244" i="55"/>
  <c r="D131" i="55"/>
  <c r="F189" i="55" s="1"/>
  <c r="E56" i="81"/>
  <c r="D25" i="55"/>
  <c r="D82" i="55" s="1"/>
  <c r="E248" i="55"/>
  <c r="C135" i="55"/>
  <c r="E193" i="55" s="1"/>
  <c r="G20" i="53"/>
  <c r="G73" i="53" s="1"/>
  <c r="G103" i="81"/>
  <c r="E54" i="81"/>
  <c r="D23" i="55"/>
  <c r="D80" i="55" s="1"/>
  <c r="E52" i="81"/>
  <c r="D21" i="55"/>
  <c r="D78" i="55" s="1"/>
  <c r="E180" i="55"/>
  <c r="F53" i="81"/>
  <c r="E22" i="55"/>
  <c r="E79" i="55" s="1"/>
  <c r="E62" i="81"/>
  <c r="D31" i="55"/>
  <c r="D88" i="55" s="1"/>
  <c r="E83" i="81"/>
  <c r="D29" i="72"/>
  <c r="D53" i="72" s="1"/>
  <c r="D27" i="72"/>
  <c r="D51" i="72" s="1"/>
  <c r="E81" i="81"/>
  <c r="E24" i="72"/>
  <c r="E48" i="72" s="1"/>
  <c r="F78" i="81"/>
  <c r="F102" i="81"/>
  <c r="F19" i="53"/>
  <c r="F72" i="53" s="1"/>
  <c r="E51" i="81"/>
  <c r="D20" i="55"/>
  <c r="E76" i="81"/>
  <c r="D22" i="72"/>
  <c r="F107" i="81"/>
  <c r="F24" i="53"/>
  <c r="F77" i="53" s="1"/>
  <c r="D242" i="55"/>
  <c r="B129" i="55"/>
  <c r="D24" i="55"/>
  <c r="D81" i="55" s="1"/>
  <c r="E55" i="81"/>
  <c r="F61" i="81"/>
  <c r="E30" i="55"/>
  <c r="E87" i="55" s="1"/>
  <c r="F139" i="53"/>
  <c r="F206" i="53"/>
  <c r="C134" i="55"/>
  <c r="E192" i="55" s="1"/>
  <c r="E247" i="55"/>
  <c r="D26" i="72"/>
  <c r="D50" i="72" s="1"/>
  <c r="E80" i="81"/>
  <c r="C77" i="55"/>
  <c r="G208" i="53"/>
  <c r="G141" i="53"/>
  <c r="C130" i="55"/>
  <c r="E188" i="55" s="1"/>
  <c r="E243" i="55"/>
  <c r="C140" i="55"/>
  <c r="E198" i="55" s="1"/>
  <c r="E253" i="55"/>
  <c r="F209" i="53"/>
  <c r="F142" i="53"/>
  <c r="F150" i="53"/>
  <c r="F217" i="53"/>
  <c r="F21" i="53"/>
  <c r="F74" i="53" s="1"/>
  <c r="F104" i="81"/>
  <c r="F140" i="53"/>
  <c r="F207" i="53"/>
  <c r="F112" i="81"/>
  <c r="F29" i="53"/>
  <c r="F82" i="53" s="1"/>
  <c r="D139" i="72"/>
  <c r="D161" i="72"/>
  <c r="D160" i="72"/>
  <c r="D144" i="72"/>
  <c r="C46" i="72"/>
  <c r="C136" i="55"/>
  <c r="E194" i="55" s="1"/>
  <c r="E249" i="55"/>
  <c r="E57" i="81"/>
  <c r="D26" i="55"/>
  <c r="D83" i="55" s="1"/>
  <c r="E77" i="81"/>
  <c r="D23" i="72"/>
  <c r="D47" i="72" s="1"/>
  <c r="F211" i="53"/>
  <c r="F144" i="53"/>
  <c r="F145" i="53"/>
  <c r="F212" i="53"/>
  <c r="E246" i="55"/>
  <c r="C133" i="55"/>
  <c r="E191" i="55" s="1"/>
  <c r="F252" i="55"/>
  <c r="D139" i="55"/>
  <c r="F197" i="55" s="1"/>
  <c r="F25" i="53"/>
  <c r="F78" i="53" s="1"/>
  <c r="F108" i="81"/>
  <c r="F101" i="81"/>
  <c r="F18" i="53"/>
  <c r="F71" i="53" s="1"/>
  <c r="P60" i="22"/>
  <c r="P61" i="22" s="1"/>
  <c r="F11" i="23"/>
  <c r="E11" i="23" s="1"/>
  <c r="N38" i="22"/>
  <c r="F35" i="22"/>
  <c r="H37" i="22"/>
  <c r="D191" i="53" l="1"/>
  <c r="B12" i="21" s="1"/>
  <c r="H76" i="83"/>
  <c r="H15" i="84" s="1"/>
  <c r="H46" i="84" s="1"/>
  <c r="G15" i="84"/>
  <c r="G46" i="84" s="1"/>
  <c r="G163" i="53"/>
  <c r="G230" i="53"/>
  <c r="G116" i="83"/>
  <c r="G47" i="53"/>
  <c r="G100" i="53" s="1"/>
  <c r="F75" i="83"/>
  <c r="E14" i="84"/>
  <c r="G241" i="53"/>
  <c r="G177" i="53"/>
  <c r="G106" i="83"/>
  <c r="G37" i="53"/>
  <c r="G90" i="53" s="1"/>
  <c r="D134" i="84"/>
  <c r="D135" i="84"/>
  <c r="G119" i="83"/>
  <c r="G50" i="53"/>
  <c r="G103" i="53" s="1"/>
  <c r="F91" i="83"/>
  <c r="E30" i="84"/>
  <c r="E61" i="84" s="1"/>
  <c r="F268" i="55"/>
  <c r="D155" i="55"/>
  <c r="F214" i="55" s="1"/>
  <c r="F272" i="55"/>
  <c r="D159" i="55"/>
  <c r="F218" i="55" s="1"/>
  <c r="F275" i="55"/>
  <c r="D165" i="55"/>
  <c r="F224" i="55" s="1"/>
  <c r="F277" i="55"/>
  <c r="D167" i="55"/>
  <c r="F226" i="55" s="1"/>
  <c r="F260" i="55"/>
  <c r="D147" i="55"/>
  <c r="F206" i="55" s="1"/>
  <c r="G117" i="83"/>
  <c r="G48" i="53"/>
  <c r="G101" i="53" s="1"/>
  <c r="G157" i="53"/>
  <c r="G224" i="53"/>
  <c r="G111" i="83"/>
  <c r="G42" i="53"/>
  <c r="G95" i="53" s="1"/>
  <c r="E45" i="55"/>
  <c r="E102" i="55" s="1"/>
  <c r="F56" i="83"/>
  <c r="F51" i="83"/>
  <c r="E40" i="55"/>
  <c r="E97" i="55" s="1"/>
  <c r="F95" i="83"/>
  <c r="E34" i="84"/>
  <c r="E62" i="84" s="1"/>
  <c r="G122" i="83"/>
  <c r="G53" i="53"/>
  <c r="G106" i="53" s="1"/>
  <c r="H174" i="53" s="1"/>
  <c r="G115" i="83"/>
  <c r="G46" i="53"/>
  <c r="G99" i="53" s="1"/>
  <c r="G112" i="83"/>
  <c r="G43" i="53"/>
  <c r="G96" i="53" s="1"/>
  <c r="F273" i="55"/>
  <c r="D160" i="55"/>
  <c r="F219" i="55" s="1"/>
  <c r="H92" i="55"/>
  <c r="G239" i="53"/>
  <c r="G175" i="53"/>
  <c r="F270" i="55"/>
  <c r="D157" i="55"/>
  <c r="F216" i="55" s="1"/>
  <c r="F261" i="55"/>
  <c r="D148" i="55"/>
  <c r="F207" i="55" s="1"/>
  <c r="E24" i="84"/>
  <c r="E55" i="84" s="1"/>
  <c r="F85" i="83"/>
  <c r="F57" i="83"/>
  <c r="E46" i="55"/>
  <c r="E103" i="55" s="1"/>
  <c r="E35" i="84"/>
  <c r="E63" i="84" s="1"/>
  <c r="F96" i="83"/>
  <c r="F61" i="83"/>
  <c r="E50" i="55"/>
  <c r="E107" i="55" s="1"/>
  <c r="G120" i="83"/>
  <c r="G51" i="53"/>
  <c r="G104" i="53" s="1"/>
  <c r="H172" i="53" s="1"/>
  <c r="F58" i="83"/>
  <c r="E47" i="55"/>
  <c r="E104" i="55" s="1"/>
  <c r="E28" i="84"/>
  <c r="E59" i="84" s="1"/>
  <c r="F89" i="83"/>
  <c r="E56" i="55"/>
  <c r="E113" i="55" s="1"/>
  <c r="F67" i="83"/>
  <c r="F69" i="83"/>
  <c r="E58" i="55"/>
  <c r="E115" i="55" s="1"/>
  <c r="G121" i="83"/>
  <c r="G52" i="53"/>
  <c r="G105" i="53" s="1"/>
  <c r="H173" i="53" s="1"/>
  <c r="G236" i="53"/>
  <c r="G169" i="53"/>
  <c r="F267" i="55"/>
  <c r="D154" i="55"/>
  <c r="F213" i="55" s="1"/>
  <c r="H82" i="83"/>
  <c r="H21" i="84" s="1"/>
  <c r="H52" i="84" s="1"/>
  <c r="G21" i="84"/>
  <c r="G52" i="84" s="1"/>
  <c r="G231" i="53"/>
  <c r="G164" i="53"/>
  <c r="F87" i="83"/>
  <c r="E26" i="84"/>
  <c r="E57" i="84" s="1"/>
  <c r="G242" i="53"/>
  <c r="G178" i="53"/>
  <c r="F266" i="55"/>
  <c r="D153" i="55"/>
  <c r="F212" i="55" s="1"/>
  <c r="D93" i="55"/>
  <c r="D61" i="55"/>
  <c r="F276" i="55"/>
  <c r="D166" i="55"/>
  <c r="F225" i="55" s="1"/>
  <c r="G226" i="53"/>
  <c r="G159" i="53"/>
  <c r="G123" i="83"/>
  <c r="G54" i="53"/>
  <c r="G107" i="53" s="1"/>
  <c r="F59" i="83"/>
  <c r="E48" i="55"/>
  <c r="E105" i="55" s="1"/>
  <c r="F94" i="83"/>
  <c r="E33" i="84"/>
  <c r="F92" i="83"/>
  <c r="E31" i="84"/>
  <c r="E258" i="55"/>
  <c r="C145" i="55"/>
  <c r="E204" i="55" s="1"/>
  <c r="F50" i="83"/>
  <c r="E39" i="55"/>
  <c r="E96" i="55" s="1"/>
  <c r="F271" i="55"/>
  <c r="D158" i="55"/>
  <c r="F217" i="55" s="1"/>
  <c r="F274" i="55"/>
  <c r="D161" i="55"/>
  <c r="F220" i="55" s="1"/>
  <c r="G155" i="53"/>
  <c r="G222" i="53"/>
  <c r="H265" i="55"/>
  <c r="F152" i="55"/>
  <c r="H211" i="55" s="1"/>
  <c r="F84" i="83"/>
  <c r="E23" i="84"/>
  <c r="E54" i="84" s="1"/>
  <c r="G165" i="53"/>
  <c r="G232" i="53"/>
  <c r="F49" i="83"/>
  <c r="E38" i="55"/>
  <c r="E95" i="55" s="1"/>
  <c r="G105" i="83"/>
  <c r="G36" i="53"/>
  <c r="G89" i="53" s="1"/>
  <c r="F262" i="55"/>
  <c r="D149" i="55"/>
  <c r="F208" i="55" s="1"/>
  <c r="F132" i="84"/>
  <c r="D99" i="84"/>
  <c r="D110" i="84" s="1"/>
  <c r="F136" i="84"/>
  <c r="F133" i="84"/>
  <c r="D100" i="84"/>
  <c r="D111" i="84" s="1"/>
  <c r="F124" i="84" s="1"/>
  <c r="D101" i="84"/>
  <c r="D112" i="84" s="1"/>
  <c r="F125" i="84" s="1"/>
  <c r="G234" i="53"/>
  <c r="G167" i="53"/>
  <c r="G55" i="53"/>
  <c r="G108" i="53" s="1"/>
  <c r="G124" i="83"/>
  <c r="G108" i="83"/>
  <c r="G39" i="53"/>
  <c r="G92" i="53" s="1"/>
  <c r="F79" i="83"/>
  <c r="E18" i="84"/>
  <c r="E49" i="84" s="1"/>
  <c r="F70" i="83"/>
  <c r="E59" i="55"/>
  <c r="E116" i="55" s="1"/>
  <c r="C42" i="84"/>
  <c r="C12" i="84"/>
  <c r="G37" i="55"/>
  <c r="G94" i="55" s="1"/>
  <c r="H48" i="83"/>
  <c r="H37" i="55" s="1"/>
  <c r="H94" i="55" s="1"/>
  <c r="F269" i="55"/>
  <c r="D156" i="55"/>
  <c r="F215" i="55" s="1"/>
  <c r="E15" i="61"/>
  <c r="D260" i="53" s="1"/>
  <c r="D262" i="53" s="1"/>
  <c r="F90" i="83"/>
  <c r="E29" i="84"/>
  <c r="E60" i="84" s="1"/>
  <c r="F86" i="83"/>
  <c r="E25" i="84"/>
  <c r="E56" i="84" s="1"/>
  <c r="F263" i="55"/>
  <c r="D150" i="55"/>
  <c r="F209" i="55" s="1"/>
  <c r="G233" i="53"/>
  <c r="G166" i="53"/>
  <c r="G118" i="83"/>
  <c r="G49" i="53"/>
  <c r="G102" i="53" s="1"/>
  <c r="E39" i="61"/>
  <c r="B13" i="21"/>
  <c r="F97" i="83"/>
  <c r="E36" i="84"/>
  <c r="E64" i="84" s="1"/>
  <c r="E51" i="55"/>
  <c r="E108" i="55" s="1"/>
  <c r="F62" i="83"/>
  <c r="G92" i="55"/>
  <c r="F52" i="83"/>
  <c r="E41" i="55"/>
  <c r="E98" i="55" s="1"/>
  <c r="G114" i="83"/>
  <c r="G45" i="53"/>
  <c r="G98" i="53" s="1"/>
  <c r="F55" i="83"/>
  <c r="E44" i="55"/>
  <c r="E101" i="55" s="1"/>
  <c r="F47" i="83"/>
  <c r="E36" i="55"/>
  <c r="F68" i="83"/>
  <c r="E57" i="55"/>
  <c r="E114" i="55" s="1"/>
  <c r="E16" i="84"/>
  <c r="E47" i="84" s="1"/>
  <c r="F77" i="83"/>
  <c r="G237" i="53"/>
  <c r="G170" i="53"/>
  <c r="G107" i="83"/>
  <c r="G38" i="53"/>
  <c r="G91" i="53" s="1"/>
  <c r="G240" i="53"/>
  <c r="G176" i="53"/>
  <c r="F78" i="83"/>
  <c r="E17" i="84"/>
  <c r="E48" i="84" s="1"/>
  <c r="G235" i="53"/>
  <c r="G168" i="53"/>
  <c r="G227" i="53"/>
  <c r="G160" i="53"/>
  <c r="D39" i="84"/>
  <c r="D45" i="84"/>
  <c r="F278" i="55"/>
  <c r="D168" i="55"/>
  <c r="F227" i="55" s="1"/>
  <c r="G125" i="83"/>
  <c r="G56" i="53"/>
  <c r="G109" i="53" s="1"/>
  <c r="G225" i="53"/>
  <c r="G158" i="53"/>
  <c r="G126" i="83"/>
  <c r="G57" i="53"/>
  <c r="G110" i="53" s="1"/>
  <c r="H259" i="55"/>
  <c r="F146" i="55"/>
  <c r="H205" i="55" s="1"/>
  <c r="G171" i="53"/>
  <c r="G238" i="53"/>
  <c r="F88" i="83"/>
  <c r="E27" i="84"/>
  <c r="E58" i="84" s="1"/>
  <c r="E138" i="84"/>
  <c r="E123" i="84"/>
  <c r="E128" i="84" s="1"/>
  <c r="E137" i="84"/>
  <c r="F80" i="83"/>
  <c r="E19" i="84"/>
  <c r="E50" i="84" s="1"/>
  <c r="F60" i="83"/>
  <c r="E49" i="55"/>
  <c r="E106" i="55" s="1"/>
  <c r="F63" i="83"/>
  <c r="E52" i="55"/>
  <c r="E109" i="55" s="1"/>
  <c r="E32" i="84"/>
  <c r="F93" i="83"/>
  <c r="G103" i="83"/>
  <c r="G34" i="53"/>
  <c r="G87" i="53" s="1"/>
  <c r="G43" i="55"/>
  <c r="G100" i="55" s="1"/>
  <c r="H54" i="83"/>
  <c r="H43" i="55" s="1"/>
  <c r="H100" i="55" s="1"/>
  <c r="H257" i="55"/>
  <c r="F144" i="55"/>
  <c r="H203" i="55" s="1"/>
  <c r="F83" i="83"/>
  <c r="E22" i="84"/>
  <c r="E53" i="84" s="1"/>
  <c r="E37" i="84"/>
  <c r="E65" i="84" s="1"/>
  <c r="F98" i="83"/>
  <c r="G113" i="83"/>
  <c r="G44" i="53"/>
  <c r="G97" i="53" s="1"/>
  <c r="E183" i="53"/>
  <c r="E50" i="22"/>
  <c r="E63" i="22"/>
  <c r="D13" i="69" s="1"/>
  <c r="D15" i="69" s="1"/>
  <c r="M65" i="22"/>
  <c r="N47" i="22"/>
  <c r="M66" i="22"/>
  <c r="G49" i="22"/>
  <c r="F65" i="22"/>
  <c r="I147" i="29"/>
  <c r="I132" i="29"/>
  <c r="I162" i="29"/>
  <c r="I23" i="68"/>
  <c r="I177" i="29"/>
  <c r="E184" i="53"/>
  <c r="E250" i="53"/>
  <c r="D156" i="72"/>
  <c r="B35" i="72"/>
  <c r="D146" i="72" s="1"/>
  <c r="D148" i="72" s="1"/>
  <c r="E114" i="53"/>
  <c r="F245" i="53" s="1"/>
  <c r="P43" i="22"/>
  <c r="O54" i="22"/>
  <c r="O55" i="22" s="1"/>
  <c r="B65" i="55"/>
  <c r="D200" i="55" s="1"/>
  <c r="E188" i="53"/>
  <c r="C32" i="72"/>
  <c r="C12" i="72" s="1"/>
  <c r="C33" i="55"/>
  <c r="C10" i="55" s="1"/>
  <c r="E254" i="53"/>
  <c r="E245" i="53"/>
  <c r="E253" i="53"/>
  <c r="E34" i="61"/>
  <c r="E116" i="53"/>
  <c r="F184" i="53" s="1"/>
  <c r="G134" i="53"/>
  <c r="G201" i="53"/>
  <c r="G16" i="53"/>
  <c r="G69" i="53" s="1"/>
  <c r="G99" i="81"/>
  <c r="G96" i="81"/>
  <c r="G13" i="53"/>
  <c r="G66" i="53" s="1"/>
  <c r="D123" i="55"/>
  <c r="F181" i="55" s="1"/>
  <c r="F236" i="55"/>
  <c r="G12" i="53"/>
  <c r="G65" i="53" s="1"/>
  <c r="G95" i="81"/>
  <c r="E85" i="81"/>
  <c r="D31" i="72"/>
  <c r="D55" i="72" s="1"/>
  <c r="F233" i="55"/>
  <c r="D120" i="55"/>
  <c r="F178" i="55" s="1"/>
  <c r="D126" i="55"/>
  <c r="F184" i="55" s="1"/>
  <c r="F239" i="55"/>
  <c r="G94" i="81"/>
  <c r="G11" i="53"/>
  <c r="G64" i="53" s="1"/>
  <c r="F110" i="81"/>
  <c r="F27" i="53"/>
  <c r="F80" i="53" s="1"/>
  <c r="G93" i="81"/>
  <c r="G10" i="53"/>
  <c r="G63" i="53" s="1"/>
  <c r="D79" i="72"/>
  <c r="D78" i="72"/>
  <c r="F141" i="72" s="1"/>
  <c r="F154" i="72"/>
  <c r="D128" i="55"/>
  <c r="F186" i="55" s="1"/>
  <c r="F241" i="55"/>
  <c r="D70" i="72"/>
  <c r="F142" i="72" s="1"/>
  <c r="D71" i="72"/>
  <c r="F155" i="72"/>
  <c r="E17" i="72"/>
  <c r="E41" i="72" s="1"/>
  <c r="F71" i="81"/>
  <c r="F45" i="81"/>
  <c r="E14" i="55"/>
  <c r="E71" i="55" s="1"/>
  <c r="G200" i="53"/>
  <c r="G133" i="53"/>
  <c r="E17" i="55"/>
  <c r="E74" i="55" s="1"/>
  <c r="F48" i="81"/>
  <c r="G199" i="53"/>
  <c r="G132" i="53"/>
  <c r="F215" i="53"/>
  <c r="F148" i="53"/>
  <c r="F50" i="81"/>
  <c r="E19" i="55"/>
  <c r="E76" i="55" s="1"/>
  <c r="E119" i="53"/>
  <c r="F188" i="53" s="1"/>
  <c r="D122" i="55"/>
  <c r="F180" i="55" s="1"/>
  <c r="D125" i="55"/>
  <c r="F183" i="55" s="1"/>
  <c r="F238" i="55"/>
  <c r="D29" i="55"/>
  <c r="D86" i="55" s="1"/>
  <c r="E60" i="81"/>
  <c r="F28" i="53"/>
  <c r="F81" i="53" s="1"/>
  <c r="F111" i="81"/>
  <c r="E20" i="72"/>
  <c r="E44" i="72" s="1"/>
  <c r="F74" i="81"/>
  <c r="C137" i="55"/>
  <c r="E195" i="55" s="1"/>
  <c r="E250" i="55"/>
  <c r="G202" i="53"/>
  <c r="G135" i="53"/>
  <c r="F237" i="55"/>
  <c r="D124" i="55"/>
  <c r="F182" i="55" s="1"/>
  <c r="D121" i="55"/>
  <c r="F179" i="55" s="1"/>
  <c r="F234" i="55"/>
  <c r="G136" i="53"/>
  <c r="G203" i="53"/>
  <c r="D63" i="72"/>
  <c r="F140" i="72" s="1"/>
  <c r="F153" i="72"/>
  <c r="D64" i="72"/>
  <c r="F49" i="81"/>
  <c r="E18" i="55"/>
  <c r="E75" i="55" s="1"/>
  <c r="F75" i="81"/>
  <c r="E21" i="72"/>
  <c r="E45" i="72" s="1"/>
  <c r="F70" i="81"/>
  <c r="E16" i="72"/>
  <c r="E40" i="72" s="1"/>
  <c r="G137" i="53"/>
  <c r="G204" i="53"/>
  <c r="F42" i="81"/>
  <c r="E11" i="55"/>
  <c r="E68" i="55" s="1"/>
  <c r="G198" i="53"/>
  <c r="G131" i="53"/>
  <c r="E18" i="72"/>
  <c r="E42" i="72" s="1"/>
  <c r="F72" i="81"/>
  <c r="E115" i="53"/>
  <c r="F246" i="53" s="1"/>
  <c r="E118" i="53"/>
  <c r="F187" i="53" s="1"/>
  <c r="E16" i="55"/>
  <c r="E73" i="55" s="1"/>
  <c r="F47" i="81"/>
  <c r="E251" i="55"/>
  <c r="C138" i="55"/>
  <c r="E196" i="55" s="1"/>
  <c r="F216" i="53"/>
  <c r="F149" i="53"/>
  <c r="E59" i="81"/>
  <c r="D28" i="55"/>
  <c r="D85" i="55" s="1"/>
  <c r="G14" i="53"/>
  <c r="G67" i="53" s="1"/>
  <c r="G97" i="81"/>
  <c r="E15" i="55"/>
  <c r="E72" i="55" s="1"/>
  <c r="F46" i="81"/>
  <c r="E19" i="72"/>
  <c r="E43" i="72" s="1"/>
  <c r="F73" i="81"/>
  <c r="E12" i="55"/>
  <c r="E69" i="55" s="1"/>
  <c r="F43" i="81"/>
  <c r="G98" i="81"/>
  <c r="G15" i="53"/>
  <c r="G68" i="53" s="1"/>
  <c r="E14" i="72"/>
  <c r="E38" i="72" s="1"/>
  <c r="F68" i="81"/>
  <c r="D127" i="55"/>
  <c r="F185" i="55" s="1"/>
  <c r="F240" i="55"/>
  <c r="F67" i="81"/>
  <c r="E13" i="72"/>
  <c r="E37" i="72" s="1"/>
  <c r="E15" i="72"/>
  <c r="E39" i="72" s="1"/>
  <c r="F69" i="81"/>
  <c r="D30" i="72"/>
  <c r="D54" i="72" s="1"/>
  <c r="E84" i="81"/>
  <c r="E13" i="55"/>
  <c r="E70" i="55" s="1"/>
  <c r="G235" i="55" s="1"/>
  <c r="F44" i="81"/>
  <c r="H197" i="53"/>
  <c r="H130" i="53"/>
  <c r="H9" i="53"/>
  <c r="H62" i="53" s="1"/>
  <c r="H92" i="81"/>
  <c r="I9" i="53" s="1"/>
  <c r="I62" i="53" s="1"/>
  <c r="F152" i="72"/>
  <c r="D95" i="72"/>
  <c r="D96" i="72"/>
  <c r="G207" i="53"/>
  <c r="G140" i="53"/>
  <c r="G210" i="53"/>
  <c r="G143" i="53"/>
  <c r="G213" i="53"/>
  <c r="G146" i="53"/>
  <c r="E242" i="55"/>
  <c r="C129" i="55"/>
  <c r="F246" i="55"/>
  <c r="D133" i="55"/>
  <c r="F191" i="55" s="1"/>
  <c r="G24" i="53"/>
  <c r="G77" i="53" s="1"/>
  <c r="G107" i="81"/>
  <c r="D46" i="72"/>
  <c r="F51" i="81"/>
  <c r="E20" i="55"/>
  <c r="G102" i="81"/>
  <c r="G19" i="53"/>
  <c r="G72" i="53" s="1"/>
  <c r="F62" i="81"/>
  <c r="E31" i="55"/>
  <c r="E88" i="55" s="1"/>
  <c r="F243" i="55"/>
  <c r="D130" i="55"/>
  <c r="F188" i="55" s="1"/>
  <c r="F54" i="81"/>
  <c r="E23" i="55"/>
  <c r="E80" i="55" s="1"/>
  <c r="E28" i="72"/>
  <c r="E52" i="72" s="1"/>
  <c r="F82" i="81"/>
  <c r="G211" i="53"/>
  <c r="G144" i="53"/>
  <c r="E139" i="72"/>
  <c r="E144" i="72"/>
  <c r="E160" i="72"/>
  <c r="E161" i="72"/>
  <c r="G108" i="81"/>
  <c r="G25" i="53"/>
  <c r="G78" i="53" s="1"/>
  <c r="D157" i="72"/>
  <c r="D158" i="72"/>
  <c r="F55" i="81"/>
  <c r="E24" i="55"/>
  <c r="E81" i="55" s="1"/>
  <c r="G212" i="53"/>
  <c r="G145" i="53"/>
  <c r="D77" i="55"/>
  <c r="F81" i="81"/>
  <c r="E27" i="72"/>
  <c r="E51" i="72" s="1"/>
  <c r="D140" i="55"/>
  <c r="F198" i="55" s="1"/>
  <c r="F253" i="55"/>
  <c r="D132" i="55"/>
  <c r="F190" i="55" s="1"/>
  <c r="F245" i="55"/>
  <c r="G252" i="55"/>
  <c r="E139" i="55"/>
  <c r="G197" i="55" s="1"/>
  <c r="D187" i="55"/>
  <c r="D284" i="55"/>
  <c r="D285" i="55"/>
  <c r="F76" i="81"/>
  <c r="E22" i="72"/>
  <c r="G78" i="81"/>
  <c r="F24" i="72"/>
  <c r="F48" i="72" s="1"/>
  <c r="G244" i="55"/>
  <c r="E131" i="55"/>
  <c r="G189" i="55" s="1"/>
  <c r="F52" i="81"/>
  <c r="E21" i="55"/>
  <c r="E78" i="55" s="1"/>
  <c r="H103" i="81"/>
  <c r="I20" i="53" s="1"/>
  <c r="I73" i="53" s="1"/>
  <c r="H20" i="53"/>
  <c r="H73" i="53" s="1"/>
  <c r="G106" i="81"/>
  <c r="G23" i="53"/>
  <c r="G76" i="53" s="1"/>
  <c r="G206" i="53"/>
  <c r="G139" i="53"/>
  <c r="F57" i="81"/>
  <c r="E26" i="55"/>
  <c r="E83" i="55" s="1"/>
  <c r="G217" i="53"/>
  <c r="G150" i="53"/>
  <c r="G21" i="53"/>
  <c r="G74" i="53" s="1"/>
  <c r="G104" i="81"/>
  <c r="F56" i="81"/>
  <c r="E25" i="55"/>
  <c r="E82" i="55" s="1"/>
  <c r="F58" i="81"/>
  <c r="E27" i="55"/>
  <c r="E84" i="55" s="1"/>
  <c r="G101" i="81"/>
  <c r="G18" i="53"/>
  <c r="G71" i="53" s="1"/>
  <c r="E23" i="72"/>
  <c r="E47" i="72" s="1"/>
  <c r="F77" i="81"/>
  <c r="G29" i="53"/>
  <c r="G82" i="53" s="1"/>
  <c r="G112" i="81"/>
  <c r="G209" i="53"/>
  <c r="G142" i="53"/>
  <c r="D282" i="55"/>
  <c r="D283" i="55"/>
  <c r="F248" i="55"/>
  <c r="D135" i="55"/>
  <c r="F193" i="55" s="1"/>
  <c r="E26" i="72"/>
  <c r="E50" i="72" s="1"/>
  <c r="F80" i="81"/>
  <c r="F30" i="55"/>
  <c r="F87" i="55" s="1"/>
  <c r="G61" i="81"/>
  <c r="F83" i="81"/>
  <c r="E29" i="72"/>
  <c r="E53" i="72" s="1"/>
  <c r="F22" i="55"/>
  <c r="F79" i="55" s="1"/>
  <c r="G53" i="81"/>
  <c r="H208" i="53"/>
  <c r="H141" i="53"/>
  <c r="F247" i="55"/>
  <c r="D134" i="55"/>
  <c r="F192" i="55" s="1"/>
  <c r="F79" i="81"/>
  <c r="E25" i="72"/>
  <c r="E49" i="72" s="1"/>
  <c r="D136" i="55"/>
  <c r="F194" i="55" s="1"/>
  <c r="F249" i="55"/>
  <c r="G105" i="81"/>
  <c r="G22" i="53"/>
  <c r="G75" i="53" s="1"/>
  <c r="C127" i="29"/>
  <c r="C157" i="29"/>
  <c r="C142" i="29"/>
  <c r="C172" i="29"/>
  <c r="C34" i="29"/>
  <c r="P62" i="22"/>
  <c r="Q59" i="22" s="1"/>
  <c r="Q42" i="22"/>
  <c r="I37" i="22"/>
  <c r="F38" i="22"/>
  <c r="G11" i="23"/>
  <c r="C12" i="23" s="1"/>
  <c r="O35" i="22"/>
  <c r="B22" i="21" l="1"/>
  <c r="E47" i="61"/>
  <c r="D274" i="53"/>
  <c r="D276" i="53" s="1"/>
  <c r="F6" i="61"/>
  <c r="E259" i="53" s="1"/>
  <c r="F39" i="61"/>
  <c r="C13" i="21"/>
  <c r="G79" i="83"/>
  <c r="F18" i="84"/>
  <c r="F49" i="84" s="1"/>
  <c r="H158" i="53"/>
  <c r="H225" i="53"/>
  <c r="H232" i="53"/>
  <c r="H165" i="53"/>
  <c r="G271" i="55"/>
  <c r="E158" i="55"/>
  <c r="G217" i="55" s="1"/>
  <c r="F17" i="84"/>
  <c r="F48" i="84" s="1"/>
  <c r="G78" i="83"/>
  <c r="H107" i="83"/>
  <c r="I38" i="53" s="1"/>
  <c r="I91" i="53" s="1"/>
  <c r="H38" i="53"/>
  <c r="H91" i="53" s="1"/>
  <c r="F36" i="55"/>
  <c r="G47" i="83"/>
  <c r="H114" i="83"/>
  <c r="I45" i="53" s="1"/>
  <c r="I98" i="53" s="1"/>
  <c r="H45" i="53"/>
  <c r="H98" i="53" s="1"/>
  <c r="I257" i="55"/>
  <c r="G144" i="55"/>
  <c r="I203" i="55" s="1"/>
  <c r="F36" i="84"/>
  <c r="F64" i="84" s="1"/>
  <c r="G97" i="83"/>
  <c r="H118" i="83"/>
  <c r="I49" i="53" s="1"/>
  <c r="I102" i="53" s="1"/>
  <c r="H49" i="53"/>
  <c r="H102" i="53" s="1"/>
  <c r="F29" i="84"/>
  <c r="F60" i="84" s="1"/>
  <c r="G90" i="83"/>
  <c r="J259" i="55"/>
  <c r="H146" i="55"/>
  <c r="G278" i="55"/>
  <c r="E168" i="55"/>
  <c r="G227" i="55" s="1"/>
  <c r="H227" i="53"/>
  <c r="H160" i="53"/>
  <c r="G260" i="55"/>
  <c r="E147" i="55"/>
  <c r="G206" i="55" s="1"/>
  <c r="H175" i="53"/>
  <c r="H239" i="53"/>
  <c r="G277" i="55"/>
  <c r="E167" i="55"/>
  <c r="G226" i="55" s="1"/>
  <c r="G89" i="83"/>
  <c r="F28" i="84"/>
  <c r="F59" i="84" s="1"/>
  <c r="G96" i="83"/>
  <c r="F35" i="84"/>
  <c r="F63" i="84" s="1"/>
  <c r="G85" i="83"/>
  <c r="F24" i="84"/>
  <c r="F55" i="84" s="1"/>
  <c r="H46" i="53"/>
  <c r="H99" i="53" s="1"/>
  <c r="H115" i="83"/>
  <c r="I46" i="53" s="1"/>
  <c r="I99" i="53" s="1"/>
  <c r="G95" i="83"/>
  <c r="F34" i="84"/>
  <c r="F62" i="84" s="1"/>
  <c r="G267" i="55"/>
  <c r="E154" i="55"/>
  <c r="G213" i="55" s="1"/>
  <c r="H119" i="83"/>
  <c r="I50" i="53" s="1"/>
  <c r="I103" i="53" s="1"/>
  <c r="H50" i="53"/>
  <c r="H103" i="53" s="1"/>
  <c r="H106" i="83"/>
  <c r="I37" i="53" s="1"/>
  <c r="I90" i="53" s="1"/>
  <c r="H37" i="53"/>
  <c r="H90" i="53" s="1"/>
  <c r="G75" i="83"/>
  <c r="F14" i="84"/>
  <c r="H34" i="53"/>
  <c r="H87" i="53" s="1"/>
  <c r="H103" i="83"/>
  <c r="I34" i="53" s="1"/>
  <c r="I87" i="53" s="1"/>
  <c r="H226" i="53"/>
  <c r="H159" i="53"/>
  <c r="H166" i="53"/>
  <c r="H233" i="53"/>
  <c r="H240" i="53"/>
  <c r="H176" i="53"/>
  <c r="H105" i="83"/>
  <c r="I36" i="53" s="1"/>
  <c r="I89" i="53" s="1"/>
  <c r="H36" i="53"/>
  <c r="H89" i="53" s="1"/>
  <c r="G50" i="83"/>
  <c r="F39" i="55"/>
  <c r="F96" i="55" s="1"/>
  <c r="G59" i="83"/>
  <c r="F48" i="55"/>
  <c r="F105" i="55" s="1"/>
  <c r="H121" i="83"/>
  <c r="I52" i="53" s="1"/>
  <c r="I105" i="53" s="1"/>
  <c r="H52" i="53"/>
  <c r="H105" i="53" s="1"/>
  <c r="I173" i="53" s="1"/>
  <c r="G58" i="83"/>
  <c r="F47" i="55"/>
  <c r="F104" i="55" s="1"/>
  <c r="G57" i="83"/>
  <c r="F46" i="55"/>
  <c r="F103" i="55" s="1"/>
  <c r="H234" i="53"/>
  <c r="H167" i="53"/>
  <c r="G56" i="83"/>
  <c r="F45" i="55"/>
  <c r="F102" i="55" s="1"/>
  <c r="H238" i="53"/>
  <c r="H171" i="53"/>
  <c r="E39" i="84"/>
  <c r="E45" i="84"/>
  <c r="J265" i="55"/>
  <c r="H152" i="55"/>
  <c r="H113" i="83"/>
  <c r="I44" i="53" s="1"/>
  <c r="I97" i="53" s="1"/>
  <c r="H44" i="53"/>
  <c r="H97" i="53" s="1"/>
  <c r="G83" i="83"/>
  <c r="F22" i="84"/>
  <c r="F53" i="84" s="1"/>
  <c r="I265" i="55"/>
  <c r="G152" i="55"/>
  <c r="I211" i="55" s="1"/>
  <c r="G60" i="83"/>
  <c r="F49" i="55"/>
  <c r="F106" i="55" s="1"/>
  <c r="H242" i="53"/>
  <c r="H178" i="53"/>
  <c r="H241" i="53"/>
  <c r="H177" i="53"/>
  <c r="G276" i="55"/>
  <c r="E166" i="55"/>
  <c r="G225" i="55" s="1"/>
  <c r="G266" i="55"/>
  <c r="E153" i="55"/>
  <c r="G212" i="55" s="1"/>
  <c r="G263" i="55"/>
  <c r="E150" i="55"/>
  <c r="G209" i="55" s="1"/>
  <c r="G62" i="83"/>
  <c r="F51" i="55"/>
  <c r="F108" i="55" s="1"/>
  <c r="C128" i="29"/>
  <c r="C143" i="29"/>
  <c r="C173" i="29"/>
  <c r="C158" i="29"/>
  <c r="C35" i="29"/>
  <c r="I259" i="55"/>
  <c r="G146" i="55"/>
  <c r="I205" i="55" s="1"/>
  <c r="G70" i="83"/>
  <c r="F59" i="55"/>
  <c r="F116" i="55" s="1"/>
  <c r="H108" i="83"/>
  <c r="I39" i="53" s="1"/>
  <c r="I92" i="53" s="1"/>
  <c r="H39" i="53"/>
  <c r="H92" i="53" s="1"/>
  <c r="G49" i="83"/>
  <c r="F38" i="55"/>
  <c r="F95" i="55" s="1"/>
  <c r="F23" i="84"/>
  <c r="F54" i="84" s="1"/>
  <c r="G84" i="83"/>
  <c r="G94" i="83"/>
  <c r="G33" i="84" s="1"/>
  <c r="F33" i="84"/>
  <c r="H54" i="53"/>
  <c r="H107" i="53" s="1"/>
  <c r="H123" i="83"/>
  <c r="I54" i="53" s="1"/>
  <c r="I107" i="53" s="1"/>
  <c r="G87" i="83"/>
  <c r="F26" i="84"/>
  <c r="F57" i="84" s="1"/>
  <c r="G69" i="83"/>
  <c r="F58" i="55"/>
  <c r="F115" i="55" s="1"/>
  <c r="H51" i="53"/>
  <c r="H104" i="53" s="1"/>
  <c r="I172" i="53" s="1"/>
  <c r="H120" i="83"/>
  <c r="I51" i="53" s="1"/>
  <c r="I104" i="53" s="1"/>
  <c r="J172" i="53" s="1"/>
  <c r="H164" i="53"/>
  <c r="H231" i="53"/>
  <c r="G262" i="55"/>
  <c r="E149" i="55"/>
  <c r="G208" i="55" s="1"/>
  <c r="H230" i="53"/>
  <c r="H163" i="53"/>
  <c r="H236" i="53"/>
  <c r="H169" i="53"/>
  <c r="H235" i="53"/>
  <c r="H168" i="53"/>
  <c r="G63" i="83"/>
  <c r="F52" i="55"/>
  <c r="F109" i="55" s="1"/>
  <c r="F19" i="84"/>
  <c r="F50" i="84" s="1"/>
  <c r="G80" i="83"/>
  <c r="G77" i="83"/>
  <c r="F16" i="84"/>
  <c r="F47" i="84" s="1"/>
  <c r="E93" i="55"/>
  <c r="E61" i="55"/>
  <c r="H237" i="53"/>
  <c r="H170" i="53"/>
  <c r="F31" i="84"/>
  <c r="G92" i="83"/>
  <c r="G31" i="84" s="1"/>
  <c r="F258" i="55"/>
  <c r="D145" i="55"/>
  <c r="F204" i="55" s="1"/>
  <c r="G275" i="55"/>
  <c r="E165" i="55"/>
  <c r="G224" i="55" s="1"/>
  <c r="G61" i="83"/>
  <c r="F50" i="55"/>
  <c r="F107" i="55" s="1"/>
  <c r="E100" i="84"/>
  <c r="E111" i="84" s="1"/>
  <c r="G124" i="84" s="1"/>
  <c r="E101" i="84"/>
  <c r="E112" i="84" s="1"/>
  <c r="G125" i="84" s="1"/>
  <c r="E99" i="84"/>
  <c r="E110" i="84" s="1"/>
  <c r="G133" i="84"/>
  <c r="G132" i="84"/>
  <c r="G136" i="84"/>
  <c r="G93" i="83"/>
  <c r="G32" i="84" s="1"/>
  <c r="F32" i="84"/>
  <c r="F27" i="84"/>
  <c r="F58" i="84" s="1"/>
  <c r="G88" i="83"/>
  <c r="G98" i="83"/>
  <c r="F37" i="84"/>
  <c r="F65" i="84" s="1"/>
  <c r="H222" i="53"/>
  <c r="H155" i="53"/>
  <c r="G274" i="55"/>
  <c r="E161" i="55"/>
  <c r="G220" i="55" s="1"/>
  <c r="H126" i="83"/>
  <c r="I57" i="53" s="1"/>
  <c r="I110" i="53" s="1"/>
  <c r="H57" i="53"/>
  <c r="H110" i="53" s="1"/>
  <c r="H125" i="83"/>
  <c r="I56" i="53" s="1"/>
  <c r="I109" i="53" s="1"/>
  <c r="H56" i="53"/>
  <c r="H109" i="53" s="1"/>
  <c r="D12" i="84"/>
  <c r="D42" i="84"/>
  <c r="G68" i="83"/>
  <c r="F57" i="55"/>
  <c r="F114" i="55" s="1"/>
  <c r="G55" i="83"/>
  <c r="F44" i="55"/>
  <c r="F101" i="55" s="1"/>
  <c r="G52" i="83"/>
  <c r="F41" i="55"/>
  <c r="F98" i="55" s="1"/>
  <c r="G273" i="55"/>
  <c r="E160" i="55"/>
  <c r="G219" i="55" s="1"/>
  <c r="F25" i="84"/>
  <c r="F56" i="84" s="1"/>
  <c r="G86" i="83"/>
  <c r="E134" i="84"/>
  <c r="E135" i="84"/>
  <c r="H55" i="53"/>
  <c r="H108" i="53" s="1"/>
  <c r="H124" i="83"/>
  <c r="I55" i="53" s="1"/>
  <c r="I108" i="53" s="1"/>
  <c r="F138" i="84"/>
  <c r="F123" i="84"/>
  <c r="F128" i="84" s="1"/>
  <c r="F137" i="84"/>
  <c r="H224" i="53"/>
  <c r="H157" i="53"/>
  <c r="G261" i="55"/>
  <c r="E148" i="55"/>
  <c r="G207" i="55" s="1"/>
  <c r="G270" i="55"/>
  <c r="E157" i="55"/>
  <c r="G216" i="55" s="1"/>
  <c r="G67" i="83"/>
  <c r="F56" i="55"/>
  <c r="F113" i="55" s="1"/>
  <c r="G269" i="55"/>
  <c r="E156" i="55"/>
  <c r="G215" i="55" s="1"/>
  <c r="G272" i="55"/>
  <c r="E159" i="55"/>
  <c r="G218" i="55" s="1"/>
  <c r="G268" i="55"/>
  <c r="E155" i="55"/>
  <c r="G214" i="55" s="1"/>
  <c r="J257" i="55"/>
  <c r="H144" i="55"/>
  <c r="H112" i="83"/>
  <c r="I43" i="53" s="1"/>
  <c r="I96" i="53" s="1"/>
  <c r="H43" i="53"/>
  <c r="H96" i="53" s="1"/>
  <c r="H53" i="53"/>
  <c r="H106" i="53" s="1"/>
  <c r="I174" i="53" s="1"/>
  <c r="H122" i="83"/>
  <c r="I53" i="53" s="1"/>
  <c r="I106" i="53" s="1"/>
  <c r="G51" i="83"/>
  <c r="F40" i="55"/>
  <c r="F97" i="55" s="1"/>
  <c r="H111" i="83"/>
  <c r="I42" i="53" s="1"/>
  <c r="I95" i="53" s="1"/>
  <c r="H42" i="53"/>
  <c r="H95" i="53" s="1"/>
  <c r="H117" i="83"/>
  <c r="I48" i="53" s="1"/>
  <c r="I101" i="53" s="1"/>
  <c r="H48" i="53"/>
  <c r="H101" i="53" s="1"/>
  <c r="G91" i="83"/>
  <c r="F30" i="84"/>
  <c r="F61" i="84" s="1"/>
  <c r="E18" i="61"/>
  <c r="F9" i="61" s="1"/>
  <c r="H116" i="83"/>
  <c r="I47" i="53" s="1"/>
  <c r="I100" i="53" s="1"/>
  <c r="H47" i="53"/>
  <c r="H100" i="53" s="1"/>
  <c r="F15" i="61"/>
  <c r="G6" i="61" s="1"/>
  <c r="F259" i="53" s="1"/>
  <c r="Q43" i="22"/>
  <c r="H49" i="22"/>
  <c r="G65" i="22"/>
  <c r="N48" i="22"/>
  <c r="N50" i="22" s="1"/>
  <c r="N63" i="22"/>
  <c r="F47" i="22"/>
  <c r="E66" i="22"/>
  <c r="E191" i="53"/>
  <c r="C12" i="21" s="1"/>
  <c r="D127" i="29" s="1"/>
  <c r="D229" i="55"/>
  <c r="E36" i="61" s="1"/>
  <c r="F182" i="53"/>
  <c r="O56" i="22"/>
  <c r="P53" i="22" s="1"/>
  <c r="P54" i="22" s="1"/>
  <c r="F183" i="53"/>
  <c r="C35" i="72"/>
  <c r="E146" i="72" s="1"/>
  <c r="E148" i="72" s="1"/>
  <c r="D159" i="72"/>
  <c r="E17" i="61" s="1"/>
  <c r="F8" i="61" s="1"/>
  <c r="C65" i="55"/>
  <c r="E200" i="55" s="1"/>
  <c r="E156" i="72"/>
  <c r="F118" i="53"/>
  <c r="G250" i="53" s="1"/>
  <c r="F251" i="53"/>
  <c r="E122" i="55"/>
  <c r="G180" i="55" s="1"/>
  <c r="F254" i="53"/>
  <c r="F253" i="53"/>
  <c r="F114" i="53"/>
  <c r="G245" i="53" s="1"/>
  <c r="F247" i="53"/>
  <c r="F250" i="53"/>
  <c r="F119" i="53"/>
  <c r="G188" i="53" s="1"/>
  <c r="F115" i="53"/>
  <c r="G246" i="53" s="1"/>
  <c r="Q44" i="22"/>
  <c r="R41" i="22" s="1"/>
  <c r="R42" i="22" s="1"/>
  <c r="G43" i="81"/>
  <c r="F12" i="55"/>
  <c r="F69" i="55" s="1"/>
  <c r="F15" i="55"/>
  <c r="F72" i="55" s="1"/>
  <c r="G46" i="81"/>
  <c r="D137" i="55"/>
  <c r="F195" i="55" s="1"/>
  <c r="F250" i="55"/>
  <c r="F11" i="55"/>
  <c r="F68" i="55" s="1"/>
  <c r="G42" i="81"/>
  <c r="G111" i="81"/>
  <c r="G28" i="53"/>
  <c r="G81" i="53" s="1"/>
  <c r="E128" i="55"/>
  <c r="G186" i="55" s="1"/>
  <c r="G241" i="55"/>
  <c r="G71" i="81"/>
  <c r="F17" i="72"/>
  <c r="F41" i="72" s="1"/>
  <c r="H99" i="81"/>
  <c r="I16" i="53" s="1"/>
  <c r="I69" i="53" s="1"/>
  <c r="H16" i="53"/>
  <c r="H69" i="53" s="1"/>
  <c r="G67" i="81"/>
  <c r="F13" i="72"/>
  <c r="F37" i="72" s="1"/>
  <c r="E64" i="72"/>
  <c r="E63" i="72"/>
  <c r="G140" i="72" s="1"/>
  <c r="G153" i="72"/>
  <c r="G234" i="55"/>
  <c r="E121" i="55"/>
  <c r="G179" i="55" s="1"/>
  <c r="E124" i="55"/>
  <c r="G182" i="55" s="1"/>
  <c r="G237" i="55"/>
  <c r="F59" i="81"/>
  <c r="E28" i="55"/>
  <c r="E85" i="55" s="1"/>
  <c r="G216" i="53"/>
  <c r="G149" i="53"/>
  <c r="G50" i="81"/>
  <c r="F19" i="55"/>
  <c r="F76" i="55" s="1"/>
  <c r="G27" i="53"/>
  <c r="G80" i="53" s="1"/>
  <c r="G110" i="81"/>
  <c r="F85" i="81"/>
  <c r="E31" i="72"/>
  <c r="E55" i="72" s="1"/>
  <c r="H137" i="53"/>
  <c r="H204" i="53"/>
  <c r="E30" i="72"/>
  <c r="E54" i="72" s="1"/>
  <c r="F84" i="81"/>
  <c r="G68" i="81"/>
  <c r="F14" i="72"/>
  <c r="F38" i="72" s="1"/>
  <c r="E79" i="72"/>
  <c r="E78" i="72"/>
  <c r="G141" i="72" s="1"/>
  <c r="G154" i="72"/>
  <c r="F16" i="72"/>
  <c r="F40" i="72" s="1"/>
  <c r="G70" i="81"/>
  <c r="G49" i="81"/>
  <c r="F18" i="55"/>
  <c r="F75" i="55" s="1"/>
  <c r="G215" i="53"/>
  <c r="G148" i="53"/>
  <c r="F116" i="53"/>
  <c r="G184" i="53" s="1"/>
  <c r="D33" i="55"/>
  <c r="D65" i="55" s="1"/>
  <c r="F200" i="55" s="1"/>
  <c r="F13" i="55"/>
  <c r="F70" i="55" s="1"/>
  <c r="F122" i="55" s="1"/>
  <c r="G44" i="81"/>
  <c r="F15" i="72"/>
  <c r="F39" i="72" s="1"/>
  <c r="G69" i="81"/>
  <c r="H203" i="53"/>
  <c r="H136" i="53"/>
  <c r="F19" i="72"/>
  <c r="F43" i="72" s="1"/>
  <c r="G73" i="81"/>
  <c r="H97" i="81"/>
  <c r="I14" i="53" s="1"/>
  <c r="I67" i="53" s="1"/>
  <c r="H14" i="53"/>
  <c r="H67" i="53" s="1"/>
  <c r="F16" i="55"/>
  <c r="F73" i="55" s="1"/>
  <c r="G47" i="81"/>
  <c r="G75" i="81"/>
  <c r="F21" i="72"/>
  <c r="F45" i="72" s="1"/>
  <c r="F20" i="72"/>
  <c r="F44" i="72" s="1"/>
  <c r="G74" i="81"/>
  <c r="F60" i="81"/>
  <c r="E29" i="55"/>
  <c r="E86" i="55" s="1"/>
  <c r="F17" i="55"/>
  <c r="F74" i="55" s="1"/>
  <c r="G48" i="81"/>
  <c r="E123" i="55"/>
  <c r="G181" i="55" s="1"/>
  <c r="G236" i="55"/>
  <c r="H198" i="53"/>
  <c r="H131" i="53"/>
  <c r="H199" i="53"/>
  <c r="H132" i="53"/>
  <c r="H12" i="53"/>
  <c r="H65" i="53" s="1"/>
  <c r="H95" i="81"/>
  <c r="I12" i="53" s="1"/>
  <c r="I65" i="53" s="1"/>
  <c r="H134" i="53"/>
  <c r="H201" i="53"/>
  <c r="D32" i="72"/>
  <c r="D35" i="72" s="1"/>
  <c r="H98" i="81"/>
  <c r="I15" i="53" s="1"/>
  <c r="I68" i="53" s="1"/>
  <c r="H15" i="53"/>
  <c r="H68" i="53" s="1"/>
  <c r="H202" i="53"/>
  <c r="H135" i="53"/>
  <c r="E125" i="55"/>
  <c r="G183" i="55" s="1"/>
  <c r="G238" i="55"/>
  <c r="G72" i="81"/>
  <c r="F18" i="72"/>
  <c r="F42" i="72" s="1"/>
  <c r="G233" i="55"/>
  <c r="E120" i="55"/>
  <c r="G178" i="55" s="1"/>
  <c r="E71" i="72"/>
  <c r="G155" i="72"/>
  <c r="E70" i="72"/>
  <c r="G142" i="72" s="1"/>
  <c r="E127" i="55"/>
  <c r="G185" i="55" s="1"/>
  <c r="G240" i="55"/>
  <c r="D138" i="55"/>
  <c r="F196" i="55" s="1"/>
  <c r="F251" i="55"/>
  <c r="G239" i="55"/>
  <c r="E126" i="55"/>
  <c r="G184" i="55" s="1"/>
  <c r="F14" i="55"/>
  <c r="F71" i="55" s="1"/>
  <c r="G45" i="81"/>
  <c r="H10" i="53"/>
  <c r="H63" i="53" s="1"/>
  <c r="H93" i="81"/>
  <c r="I10" i="53" s="1"/>
  <c r="I63" i="53" s="1"/>
  <c r="H11" i="53"/>
  <c r="H64" i="53" s="1"/>
  <c r="H94" i="81"/>
  <c r="I11" i="53" s="1"/>
  <c r="I64" i="53" s="1"/>
  <c r="H200" i="53"/>
  <c r="H133" i="53"/>
  <c r="H13" i="53"/>
  <c r="H66" i="53" s="1"/>
  <c r="H96" i="81"/>
  <c r="I13" i="53" s="1"/>
  <c r="I66" i="53" s="1"/>
  <c r="J197" i="53"/>
  <c r="J130" i="53"/>
  <c r="I197" i="53"/>
  <c r="I130" i="53"/>
  <c r="E37" i="61"/>
  <c r="B9" i="21"/>
  <c r="E134" i="55"/>
  <c r="G192" i="55" s="1"/>
  <c r="G247" i="55"/>
  <c r="F26" i="55"/>
  <c r="F83" i="55" s="1"/>
  <c r="G57" i="81"/>
  <c r="H108" i="81"/>
  <c r="I25" i="53" s="1"/>
  <c r="I78" i="53" s="1"/>
  <c r="H25" i="53"/>
  <c r="H78" i="53" s="1"/>
  <c r="E140" i="55"/>
  <c r="G198" i="55" s="1"/>
  <c r="G253" i="55"/>
  <c r="H22" i="53"/>
  <c r="H75" i="53" s="1"/>
  <c r="H105" i="81"/>
  <c r="I22" i="53" s="1"/>
  <c r="I75" i="53" s="1"/>
  <c r="G79" i="81"/>
  <c r="F25" i="72"/>
  <c r="F49" i="72" s="1"/>
  <c r="G83" i="81"/>
  <c r="F29" i="72"/>
  <c r="F53" i="72" s="1"/>
  <c r="H252" i="55"/>
  <c r="F139" i="55"/>
  <c r="H197" i="55" s="1"/>
  <c r="H112" i="81"/>
  <c r="I29" i="53" s="1"/>
  <c r="I82" i="53" s="1"/>
  <c r="H29" i="53"/>
  <c r="H82" i="53" s="1"/>
  <c r="H206" i="53"/>
  <c r="H139" i="53"/>
  <c r="E136" i="55"/>
  <c r="G194" i="55" s="1"/>
  <c r="G249" i="55"/>
  <c r="G56" i="81"/>
  <c r="F25" i="55"/>
  <c r="F82" i="55" s="1"/>
  <c r="J208" i="53"/>
  <c r="J141" i="53"/>
  <c r="F22" i="72"/>
  <c r="G76" i="81"/>
  <c r="G81" i="81"/>
  <c r="F27" i="72"/>
  <c r="F51" i="72" s="1"/>
  <c r="F31" i="55"/>
  <c r="F88" i="55" s="1"/>
  <c r="G62" i="81"/>
  <c r="G51" i="81"/>
  <c r="F20" i="55"/>
  <c r="H212" i="53"/>
  <c r="H145" i="53"/>
  <c r="H210" i="53"/>
  <c r="H143" i="53"/>
  <c r="G30" i="55"/>
  <c r="G87" i="55" s="1"/>
  <c r="H61" i="81"/>
  <c r="H30" i="55" s="1"/>
  <c r="H87" i="55" s="1"/>
  <c r="E95" i="72"/>
  <c r="G152" i="72"/>
  <c r="E96" i="72"/>
  <c r="H209" i="53"/>
  <c r="H142" i="53"/>
  <c r="I208" i="53"/>
  <c r="I141" i="53"/>
  <c r="E46" i="72"/>
  <c r="G54" i="81"/>
  <c r="F23" i="55"/>
  <c r="F80" i="55" s="1"/>
  <c r="E77" i="55"/>
  <c r="H107" i="81"/>
  <c r="I24" i="53" s="1"/>
  <c r="I77" i="53" s="1"/>
  <c r="H24" i="53"/>
  <c r="H77" i="53" s="1"/>
  <c r="G22" i="55"/>
  <c r="G79" i="55" s="1"/>
  <c r="H53" i="81"/>
  <c r="H22" i="55" s="1"/>
  <c r="H79" i="55" s="1"/>
  <c r="H217" i="53"/>
  <c r="H150" i="53"/>
  <c r="H18" i="53"/>
  <c r="H71" i="53" s="1"/>
  <c r="H101" i="81"/>
  <c r="I18" i="53" s="1"/>
  <c r="I71" i="53" s="1"/>
  <c r="G58" i="81"/>
  <c r="F27" i="55"/>
  <c r="F84" i="55" s="1"/>
  <c r="E282" i="55"/>
  <c r="E283" i="55"/>
  <c r="H211" i="53"/>
  <c r="H144" i="53"/>
  <c r="G243" i="55"/>
  <c r="E130" i="55"/>
  <c r="G188" i="55" s="1"/>
  <c r="G246" i="55"/>
  <c r="E133" i="55"/>
  <c r="G191" i="55" s="1"/>
  <c r="H207" i="53"/>
  <c r="H140" i="53"/>
  <c r="H244" i="55"/>
  <c r="F131" i="55"/>
  <c r="H189" i="55" s="1"/>
  <c r="G80" i="81"/>
  <c r="F26" i="72"/>
  <c r="F50" i="72" s="1"/>
  <c r="E157" i="72"/>
  <c r="E158" i="72"/>
  <c r="F23" i="72"/>
  <c r="F47" i="72" s="1"/>
  <c r="G77" i="81"/>
  <c r="H104" i="81"/>
  <c r="I21" i="53" s="1"/>
  <c r="I74" i="53" s="1"/>
  <c r="H21" i="53"/>
  <c r="H74" i="53" s="1"/>
  <c r="G248" i="55"/>
  <c r="E135" i="55"/>
  <c r="G193" i="55" s="1"/>
  <c r="H23" i="53"/>
  <c r="H76" i="53" s="1"/>
  <c r="H106" i="81"/>
  <c r="I23" i="53" s="1"/>
  <c r="I76" i="53" s="1"/>
  <c r="G52" i="81"/>
  <c r="F21" i="55"/>
  <c r="F78" i="55" s="1"/>
  <c r="G24" i="72"/>
  <c r="G48" i="72" s="1"/>
  <c r="H78" i="81"/>
  <c r="H24" i="72" s="1"/>
  <c r="H48" i="72" s="1"/>
  <c r="E16" i="61"/>
  <c r="F242" i="55"/>
  <c r="D129" i="55"/>
  <c r="G55" i="81"/>
  <c r="F24" i="55"/>
  <c r="F81" i="55" s="1"/>
  <c r="H146" i="53"/>
  <c r="H213" i="53"/>
  <c r="G82" i="81"/>
  <c r="F28" i="72"/>
  <c r="F52" i="72" s="1"/>
  <c r="E132" i="55"/>
  <c r="G190" i="55" s="1"/>
  <c r="G245" i="55"/>
  <c r="H19" i="53"/>
  <c r="H72" i="53" s="1"/>
  <c r="H102" i="81"/>
  <c r="I19" i="53" s="1"/>
  <c r="I72" i="53" s="1"/>
  <c r="E187" i="55"/>
  <c r="E284" i="55"/>
  <c r="E285" i="55"/>
  <c r="F139" i="72"/>
  <c r="F161" i="72"/>
  <c r="F160" i="72"/>
  <c r="F144" i="72"/>
  <c r="Q60" i="22"/>
  <c r="Q61" i="22" s="1"/>
  <c r="O36" i="22"/>
  <c r="G35" i="22"/>
  <c r="D12" i="23"/>
  <c r="R43" i="22" l="1"/>
  <c r="J205" i="55"/>
  <c r="E260" i="53"/>
  <c r="E262" i="53" s="1"/>
  <c r="C22" i="21" s="1"/>
  <c r="D157" i="29"/>
  <c r="E159" i="72"/>
  <c r="I169" i="53"/>
  <c r="I236" i="53"/>
  <c r="I231" i="53"/>
  <c r="I164" i="53"/>
  <c r="H55" i="83"/>
  <c r="H44" i="55" s="1"/>
  <c r="H101" i="55" s="1"/>
  <c r="G44" i="55"/>
  <c r="G101" i="55" s="1"/>
  <c r="J242" i="53"/>
  <c r="J178" i="53"/>
  <c r="G258" i="55"/>
  <c r="E145" i="55"/>
  <c r="G204" i="55" s="1"/>
  <c r="J160" i="53"/>
  <c r="J227" i="53"/>
  <c r="I232" i="53"/>
  <c r="I165" i="53"/>
  <c r="F155" i="55"/>
  <c r="H214" i="55" s="1"/>
  <c r="H268" i="55"/>
  <c r="I238" i="53"/>
  <c r="I171" i="53"/>
  <c r="I237" i="53"/>
  <c r="I170" i="53"/>
  <c r="H47" i="83"/>
  <c r="H36" i="55" s="1"/>
  <c r="G36" i="55"/>
  <c r="J231" i="53"/>
  <c r="J164" i="53"/>
  <c r="H86" i="83"/>
  <c r="H25" i="84" s="1"/>
  <c r="H56" i="84" s="1"/>
  <c r="G25" i="84"/>
  <c r="G56" i="84" s="1"/>
  <c r="H278" i="55"/>
  <c r="F168" i="55"/>
  <c r="H227" i="55" s="1"/>
  <c r="J232" i="53"/>
  <c r="J165" i="53"/>
  <c r="H56" i="83"/>
  <c r="H45" i="55" s="1"/>
  <c r="H102" i="55" s="1"/>
  <c r="G45" i="55"/>
  <c r="G102" i="55" s="1"/>
  <c r="H57" i="83"/>
  <c r="H46" i="55" s="1"/>
  <c r="H103" i="55" s="1"/>
  <c r="G46" i="55"/>
  <c r="G103" i="55" s="1"/>
  <c r="J173" i="53"/>
  <c r="G39" i="55"/>
  <c r="G96" i="55" s="1"/>
  <c r="H50" i="83"/>
  <c r="H39" i="55" s="1"/>
  <c r="H96" i="55" s="1"/>
  <c r="G14" i="84"/>
  <c r="H75" i="83"/>
  <c r="H14" i="84" s="1"/>
  <c r="J238" i="53"/>
  <c r="J171" i="53"/>
  <c r="H95" i="83"/>
  <c r="H34" i="84" s="1"/>
  <c r="H62" i="84" s="1"/>
  <c r="G34" i="84"/>
  <c r="G62" i="84" s="1"/>
  <c r="H85" i="83"/>
  <c r="H24" i="84" s="1"/>
  <c r="H55" i="84" s="1"/>
  <c r="G24" i="84"/>
  <c r="G55" i="84" s="1"/>
  <c r="H89" i="83"/>
  <c r="H28" i="84" s="1"/>
  <c r="H59" i="84" s="1"/>
  <c r="G28" i="84"/>
  <c r="G59" i="84" s="1"/>
  <c r="J237" i="53"/>
  <c r="J170" i="53"/>
  <c r="F93" i="55"/>
  <c r="F61" i="55"/>
  <c r="G18" i="84"/>
  <c r="G49" i="84" s="1"/>
  <c r="H79" i="83"/>
  <c r="H18" i="84" s="1"/>
  <c r="H49" i="84" s="1"/>
  <c r="J235" i="53"/>
  <c r="J168" i="53"/>
  <c r="H262" i="55"/>
  <c r="F149" i="55"/>
  <c r="H208" i="55" s="1"/>
  <c r="F135" i="84"/>
  <c r="F134" i="84"/>
  <c r="G58" i="55"/>
  <c r="G115" i="55" s="1"/>
  <c r="H69" i="83"/>
  <c r="H58" i="55" s="1"/>
  <c r="H115" i="55" s="1"/>
  <c r="F39" i="84"/>
  <c r="F45" i="84"/>
  <c r="F99" i="84"/>
  <c r="F110" i="84" s="1"/>
  <c r="F101" i="84"/>
  <c r="F112" i="84" s="1"/>
  <c r="H125" i="84" s="1"/>
  <c r="F100" i="84"/>
  <c r="F111" i="84" s="1"/>
  <c r="H124" i="84" s="1"/>
  <c r="H132" i="84"/>
  <c r="H136" i="84"/>
  <c r="H133" i="84"/>
  <c r="H51" i="83"/>
  <c r="H40" i="55" s="1"/>
  <c r="H97" i="55" s="1"/>
  <c r="G40" i="55"/>
  <c r="G97" i="55" s="1"/>
  <c r="J240" i="53"/>
  <c r="J176" i="53"/>
  <c r="H276" i="55"/>
  <c r="F166" i="55"/>
  <c r="H225" i="55" s="1"/>
  <c r="I241" i="53"/>
  <c r="I177" i="53"/>
  <c r="H272" i="55"/>
  <c r="F159" i="55"/>
  <c r="H218" i="55" s="1"/>
  <c r="H274" i="55"/>
  <c r="F161" i="55"/>
  <c r="H220" i="55" s="1"/>
  <c r="H260" i="55"/>
  <c r="F147" i="55"/>
  <c r="H206" i="55" s="1"/>
  <c r="E12" i="84"/>
  <c r="E42" i="84"/>
  <c r="I230" i="53"/>
  <c r="I163" i="53"/>
  <c r="J174" i="53"/>
  <c r="J203" i="55"/>
  <c r="H275" i="55"/>
  <c r="F165" i="55"/>
  <c r="H224" i="55" s="1"/>
  <c r="G18" i="61"/>
  <c r="H9" i="61" s="1"/>
  <c r="I176" i="53"/>
  <c r="I240" i="53"/>
  <c r="H52" i="83"/>
  <c r="H41" i="55" s="1"/>
  <c r="H98" i="55" s="1"/>
  <c r="G41" i="55"/>
  <c r="G98" i="55" s="1"/>
  <c r="H68" i="83"/>
  <c r="H57" i="55" s="1"/>
  <c r="H114" i="55" s="1"/>
  <c r="G57" i="55"/>
  <c r="G114" i="55" s="1"/>
  <c r="J177" i="53"/>
  <c r="J241" i="53"/>
  <c r="G37" i="84"/>
  <c r="G65" i="84" s="1"/>
  <c r="H98" i="83"/>
  <c r="H37" i="84" s="1"/>
  <c r="H65" i="84" s="1"/>
  <c r="G138" i="84"/>
  <c r="G123" i="84"/>
  <c r="G128" i="84" s="1"/>
  <c r="G137" i="84"/>
  <c r="H61" i="83"/>
  <c r="H50" i="55" s="1"/>
  <c r="H107" i="55" s="1"/>
  <c r="G50" i="55"/>
  <c r="G107" i="55" s="1"/>
  <c r="H77" i="83"/>
  <c r="H16" i="84" s="1"/>
  <c r="H47" i="84" s="1"/>
  <c r="G16" i="84"/>
  <c r="G47" i="84" s="1"/>
  <c r="H63" i="83"/>
  <c r="H52" i="55" s="1"/>
  <c r="H109" i="55" s="1"/>
  <c r="G52" i="55"/>
  <c r="G109" i="55" s="1"/>
  <c r="G26" i="84"/>
  <c r="G57" i="84" s="1"/>
  <c r="H87" i="83"/>
  <c r="H26" i="84" s="1"/>
  <c r="H57" i="84" s="1"/>
  <c r="H49" i="83"/>
  <c r="H38" i="55" s="1"/>
  <c r="H95" i="55" s="1"/>
  <c r="G38" i="55"/>
  <c r="G95" i="55" s="1"/>
  <c r="H70" i="83"/>
  <c r="H59" i="55" s="1"/>
  <c r="H116" i="55" s="1"/>
  <c r="G59" i="55"/>
  <c r="G116" i="55" s="1"/>
  <c r="H273" i="55"/>
  <c r="F160" i="55"/>
  <c r="H219" i="55" s="1"/>
  <c r="H271" i="55"/>
  <c r="F158" i="55"/>
  <c r="H217" i="55" s="1"/>
  <c r="J211" i="55"/>
  <c r="H269" i="55"/>
  <c r="F156" i="55"/>
  <c r="H215" i="55" s="1"/>
  <c r="H270" i="55"/>
  <c r="F157" i="55"/>
  <c r="H216" i="55" s="1"/>
  <c r="I224" i="53"/>
  <c r="I157" i="53"/>
  <c r="J222" i="53"/>
  <c r="J155" i="53"/>
  <c r="I225" i="53"/>
  <c r="I158" i="53"/>
  <c r="J234" i="53"/>
  <c r="J167" i="53"/>
  <c r="H90" i="83"/>
  <c r="H29" i="84" s="1"/>
  <c r="H60" i="84" s="1"/>
  <c r="G29" i="84"/>
  <c r="G60" i="84" s="1"/>
  <c r="H97" i="83"/>
  <c r="H36" i="84" s="1"/>
  <c r="H64" i="84" s="1"/>
  <c r="G36" i="84"/>
  <c r="G64" i="84" s="1"/>
  <c r="I233" i="53"/>
  <c r="I166" i="53"/>
  <c r="I159" i="53"/>
  <c r="I226" i="53"/>
  <c r="D173" i="29"/>
  <c r="D35" i="29"/>
  <c r="D128" i="29"/>
  <c r="D143" i="29"/>
  <c r="D158" i="29"/>
  <c r="I239" i="53"/>
  <c r="I175" i="53"/>
  <c r="H267" i="55"/>
  <c r="F154" i="55"/>
  <c r="H213" i="55" s="1"/>
  <c r="H261" i="55"/>
  <c r="F148" i="55"/>
  <c r="H207" i="55" s="1"/>
  <c r="H78" i="83"/>
  <c r="H17" i="84" s="1"/>
  <c r="H48" i="84" s="1"/>
  <c r="G17" i="84"/>
  <c r="G48" i="84" s="1"/>
  <c r="J236" i="53"/>
  <c r="J169" i="53"/>
  <c r="H263" i="55"/>
  <c r="F150" i="55"/>
  <c r="H209" i="55" s="1"/>
  <c r="B8" i="21"/>
  <c r="C138" i="29" s="1"/>
  <c r="I235" i="53"/>
  <c r="I168" i="53"/>
  <c r="H91" i="83"/>
  <c r="H30" i="84" s="1"/>
  <c r="H61" i="84" s="1"/>
  <c r="G30" i="84"/>
  <c r="G61" i="84" s="1"/>
  <c r="J230" i="53"/>
  <c r="J163" i="53"/>
  <c r="H67" i="83"/>
  <c r="H56" i="55" s="1"/>
  <c r="H113" i="55" s="1"/>
  <c r="G56" i="55"/>
  <c r="G113" i="55" s="1"/>
  <c r="G39" i="61"/>
  <c r="D13" i="21"/>
  <c r="F18" i="61"/>
  <c r="G9" i="61" s="1"/>
  <c r="H266" i="55"/>
  <c r="F153" i="55"/>
  <c r="H212" i="55" s="1"/>
  <c r="I178" i="53"/>
  <c r="I242" i="53"/>
  <c r="H88" i="83"/>
  <c r="H27" i="84" s="1"/>
  <c r="H58" i="84" s="1"/>
  <c r="G27" i="84"/>
  <c r="G58" i="84" s="1"/>
  <c r="H80" i="83"/>
  <c r="H19" i="84" s="1"/>
  <c r="H50" i="84" s="1"/>
  <c r="G19" i="84"/>
  <c r="G50" i="84" s="1"/>
  <c r="H277" i="55"/>
  <c r="F167" i="55"/>
  <c r="H226" i="55" s="1"/>
  <c r="J239" i="53"/>
  <c r="J175" i="53"/>
  <c r="H84" i="83"/>
  <c r="H23" i="84" s="1"/>
  <c r="H54" i="84" s="1"/>
  <c r="G23" i="84"/>
  <c r="G54" i="84" s="1"/>
  <c r="I227" i="53"/>
  <c r="I160" i="53"/>
  <c r="G51" i="55"/>
  <c r="G108" i="55" s="1"/>
  <c r="H62" i="83"/>
  <c r="H51" i="55" s="1"/>
  <c r="H108" i="55" s="1"/>
  <c r="H60" i="83"/>
  <c r="H49" i="55" s="1"/>
  <c r="H106" i="55" s="1"/>
  <c r="G49" i="55"/>
  <c r="G106" i="55" s="1"/>
  <c r="H83" i="83"/>
  <c r="H22" i="84" s="1"/>
  <c r="H53" i="84" s="1"/>
  <c r="G22" i="84"/>
  <c r="G53" i="84" s="1"/>
  <c r="G47" i="55"/>
  <c r="G104" i="55" s="1"/>
  <c r="H58" i="83"/>
  <c r="H47" i="55" s="1"/>
  <c r="H104" i="55" s="1"/>
  <c r="H59" i="83"/>
  <c r="H48" i="55" s="1"/>
  <c r="H105" i="55" s="1"/>
  <c r="G48" i="55"/>
  <c r="G105" i="55" s="1"/>
  <c r="J224" i="53"/>
  <c r="J157" i="53"/>
  <c r="I155" i="53"/>
  <c r="I222" i="53"/>
  <c r="J225" i="53"/>
  <c r="J158" i="53"/>
  <c r="I167" i="53"/>
  <c r="I234" i="53"/>
  <c r="G35" i="84"/>
  <c r="G63" i="84" s="1"/>
  <c r="H96" i="83"/>
  <c r="H35" i="84" s="1"/>
  <c r="H63" i="84" s="1"/>
  <c r="J233" i="53"/>
  <c r="J166" i="53"/>
  <c r="J226" i="53"/>
  <c r="J159" i="53"/>
  <c r="O47" i="22"/>
  <c r="N66" i="22"/>
  <c r="N64" i="22"/>
  <c r="D95" i="22" s="1"/>
  <c r="N49" i="22"/>
  <c r="F50" i="22"/>
  <c r="F63" i="22"/>
  <c r="E13" i="69" s="1"/>
  <c r="E15" i="69" s="1"/>
  <c r="I49" i="22"/>
  <c r="I65" i="22" s="1"/>
  <c r="H65" i="22"/>
  <c r="F34" i="61"/>
  <c r="D142" i="29"/>
  <c r="D34" i="29"/>
  <c r="D172" i="29"/>
  <c r="F191" i="53"/>
  <c r="G34" i="61" s="1"/>
  <c r="G247" i="53"/>
  <c r="G187" i="53"/>
  <c r="P56" i="22"/>
  <c r="Q53" i="22" s="1"/>
  <c r="Q54" i="22" s="1"/>
  <c r="P55" i="22"/>
  <c r="E229" i="55"/>
  <c r="C8" i="21" s="1"/>
  <c r="G251" i="53"/>
  <c r="H15" i="61" s="1"/>
  <c r="G260" i="53" s="1"/>
  <c r="F156" i="72"/>
  <c r="E32" i="72"/>
  <c r="G156" i="72" s="1"/>
  <c r="E33" i="55"/>
  <c r="E10" i="55" s="1"/>
  <c r="G254" i="53"/>
  <c r="G183" i="53"/>
  <c r="D12" i="72"/>
  <c r="F157" i="72" s="1"/>
  <c r="G253" i="53"/>
  <c r="G182" i="53"/>
  <c r="G119" i="53"/>
  <c r="H251" i="53" s="1"/>
  <c r="G15" i="61"/>
  <c r="H6" i="61" s="1"/>
  <c r="G259" i="53" s="1"/>
  <c r="F16" i="61"/>
  <c r="G7" i="61" s="1"/>
  <c r="H235" i="55"/>
  <c r="E41" i="61"/>
  <c r="D167" i="72"/>
  <c r="D169" i="72" s="1"/>
  <c r="E50" i="61" s="1"/>
  <c r="D10" i="55"/>
  <c r="F282" i="55" s="1"/>
  <c r="G118" i="53"/>
  <c r="H250" i="53" s="1"/>
  <c r="F17" i="61"/>
  <c r="G8" i="61" s="1"/>
  <c r="G114" i="53"/>
  <c r="H182" i="53" s="1"/>
  <c r="Q62" i="22"/>
  <c r="R59" i="22" s="1"/>
  <c r="R60" i="22" s="1"/>
  <c r="R61" i="22" s="1"/>
  <c r="R44" i="22"/>
  <c r="J134" i="53"/>
  <c r="J201" i="53"/>
  <c r="J133" i="53"/>
  <c r="J200" i="53"/>
  <c r="H48" i="81"/>
  <c r="H17" i="55" s="1"/>
  <c r="H74" i="55" s="1"/>
  <c r="G17" i="55"/>
  <c r="G74" i="55" s="1"/>
  <c r="H47" i="81"/>
  <c r="H16" i="55" s="1"/>
  <c r="H73" i="55" s="1"/>
  <c r="G16" i="55"/>
  <c r="G73" i="55" s="1"/>
  <c r="I204" i="53"/>
  <c r="I137" i="53"/>
  <c r="G11" i="55"/>
  <c r="G68" i="55" s="1"/>
  <c r="H42" i="81"/>
  <c r="H11" i="55" s="1"/>
  <c r="H68" i="55" s="1"/>
  <c r="I201" i="53"/>
  <c r="I134" i="53"/>
  <c r="I132" i="53"/>
  <c r="I199" i="53"/>
  <c r="F123" i="55"/>
  <c r="H181" i="55" s="1"/>
  <c r="H236" i="55"/>
  <c r="H154" i="72"/>
  <c r="F79" i="72"/>
  <c r="F78" i="72"/>
  <c r="H141" i="72" s="1"/>
  <c r="I200" i="53"/>
  <c r="I133" i="53"/>
  <c r="F126" i="55"/>
  <c r="H184" i="55" s="1"/>
  <c r="H239" i="55"/>
  <c r="F125" i="55"/>
  <c r="H183" i="55" s="1"/>
  <c r="H238" i="55"/>
  <c r="G18" i="55"/>
  <c r="G75" i="55" s="1"/>
  <c r="H49" i="81"/>
  <c r="H18" i="55" s="1"/>
  <c r="H75" i="55" s="1"/>
  <c r="F30" i="72"/>
  <c r="F54" i="72" s="1"/>
  <c r="G84" i="81"/>
  <c r="F128" i="55"/>
  <c r="H186" i="55" s="1"/>
  <c r="H241" i="55"/>
  <c r="E137" i="55"/>
  <c r="G195" i="55" s="1"/>
  <c r="G250" i="55"/>
  <c r="J204" i="53"/>
  <c r="J137" i="53"/>
  <c r="F120" i="55"/>
  <c r="H178" i="55" s="1"/>
  <c r="H233" i="55"/>
  <c r="F124" i="55"/>
  <c r="H182" i="55" s="1"/>
  <c r="H237" i="55"/>
  <c r="J132" i="53"/>
  <c r="J199" i="53"/>
  <c r="H45" i="81"/>
  <c r="H14" i="55" s="1"/>
  <c r="H71" i="55" s="1"/>
  <c r="G14" i="55"/>
  <c r="G71" i="55" s="1"/>
  <c r="J136" i="53"/>
  <c r="J203" i="53"/>
  <c r="G20" i="72"/>
  <c r="G44" i="72" s="1"/>
  <c r="H74" i="81"/>
  <c r="H20" i="72" s="1"/>
  <c r="H44" i="72" s="1"/>
  <c r="G19" i="72"/>
  <c r="G43" i="72" s="1"/>
  <c r="H73" i="81"/>
  <c r="H19" i="72" s="1"/>
  <c r="H43" i="72" s="1"/>
  <c r="H69" i="81"/>
  <c r="H15" i="72" s="1"/>
  <c r="H39" i="72" s="1"/>
  <c r="G15" i="72"/>
  <c r="G39" i="72" s="1"/>
  <c r="H240" i="55"/>
  <c r="F127" i="55"/>
  <c r="H185" i="55" s="1"/>
  <c r="G14" i="72"/>
  <c r="G38" i="72" s="1"/>
  <c r="H68" i="81"/>
  <c r="H14" i="72" s="1"/>
  <c r="H38" i="72" s="1"/>
  <c r="H148" i="53"/>
  <c r="H215" i="53"/>
  <c r="G15" i="55"/>
  <c r="G72" i="55" s="1"/>
  <c r="H46" i="81"/>
  <c r="H15" i="55" s="1"/>
  <c r="H72" i="55" s="1"/>
  <c r="G115" i="53"/>
  <c r="H183" i="53" s="1"/>
  <c r="D144" i="84"/>
  <c r="D146" i="84" s="1"/>
  <c r="E52" i="61" s="1"/>
  <c r="J198" i="53"/>
  <c r="J131" i="53"/>
  <c r="H72" i="81"/>
  <c r="H18" i="72" s="1"/>
  <c r="H42" i="72" s="1"/>
  <c r="G18" i="72"/>
  <c r="G42" i="72" s="1"/>
  <c r="E138" i="55"/>
  <c r="G196" i="55" s="1"/>
  <c r="G251" i="55"/>
  <c r="I202" i="53"/>
  <c r="I135" i="53"/>
  <c r="H44" i="81"/>
  <c r="H13" i="55" s="1"/>
  <c r="H70" i="55" s="1"/>
  <c r="H122" i="55" s="1"/>
  <c r="G13" i="55"/>
  <c r="G70" i="55" s="1"/>
  <c r="I235" i="55" s="1"/>
  <c r="G16" i="72"/>
  <c r="G40" i="72" s="1"/>
  <c r="H70" i="81"/>
  <c r="H16" i="72" s="1"/>
  <c r="H40" i="72" s="1"/>
  <c r="F31" i="72"/>
  <c r="F55" i="72" s="1"/>
  <c r="G85" i="81"/>
  <c r="G19" i="55"/>
  <c r="G76" i="55" s="1"/>
  <c r="H50" i="81"/>
  <c r="H19" i="55" s="1"/>
  <c r="H76" i="55" s="1"/>
  <c r="G59" i="81"/>
  <c r="F28" i="55"/>
  <c r="F85" i="55" s="1"/>
  <c r="H216" i="53"/>
  <c r="H149" i="53"/>
  <c r="H234" i="55"/>
  <c r="F121" i="55"/>
  <c r="H179" i="55" s="1"/>
  <c r="G116" i="53"/>
  <c r="I198" i="53"/>
  <c r="I131" i="53"/>
  <c r="I136" i="53"/>
  <c r="I203" i="53"/>
  <c r="F29" i="55"/>
  <c r="F86" i="55" s="1"/>
  <c r="G60" i="81"/>
  <c r="H75" i="81"/>
  <c r="H21" i="72" s="1"/>
  <c r="H45" i="72" s="1"/>
  <c r="G21" i="72"/>
  <c r="G45" i="72" s="1"/>
  <c r="J135" i="53"/>
  <c r="J202" i="53"/>
  <c r="F70" i="72"/>
  <c r="H142" i="72" s="1"/>
  <c r="H155" i="72"/>
  <c r="F71" i="72"/>
  <c r="F64" i="72"/>
  <c r="H153" i="72"/>
  <c r="F63" i="72"/>
  <c r="H140" i="72" s="1"/>
  <c r="H110" i="81"/>
  <c r="I27" i="53" s="1"/>
  <c r="I80" i="53" s="1"/>
  <c r="H27" i="53"/>
  <c r="H80" i="53" s="1"/>
  <c r="H67" i="81"/>
  <c r="H13" i="72" s="1"/>
  <c r="H37" i="72" s="1"/>
  <c r="G13" i="72"/>
  <c r="G37" i="72" s="1"/>
  <c r="H71" i="81"/>
  <c r="H17" i="72" s="1"/>
  <c r="H41" i="72" s="1"/>
  <c r="G17" i="72"/>
  <c r="G41" i="72" s="1"/>
  <c r="H28" i="53"/>
  <c r="H81" i="53" s="1"/>
  <c r="H111" i="81"/>
  <c r="I28" i="53" s="1"/>
  <c r="I81" i="53" s="1"/>
  <c r="H43" i="81"/>
  <c r="H12" i="55" s="1"/>
  <c r="H69" i="55" s="1"/>
  <c r="G12" i="55"/>
  <c r="G69" i="55" s="1"/>
  <c r="H55" i="81"/>
  <c r="H24" i="55" s="1"/>
  <c r="H81" i="55" s="1"/>
  <c r="G24" i="55"/>
  <c r="G81" i="55" s="1"/>
  <c r="J211" i="53"/>
  <c r="J144" i="53"/>
  <c r="H139" i="55"/>
  <c r="J252" i="55"/>
  <c r="I211" i="53"/>
  <c r="I144" i="53"/>
  <c r="G26" i="72"/>
  <c r="G50" i="72" s="1"/>
  <c r="H80" i="81"/>
  <c r="H26" i="72" s="1"/>
  <c r="H50" i="72" s="1"/>
  <c r="F37" i="61"/>
  <c r="C9" i="21"/>
  <c r="I206" i="53"/>
  <c r="I139" i="53"/>
  <c r="I212" i="53"/>
  <c r="I145" i="53"/>
  <c r="F132" i="55"/>
  <c r="H190" i="55" s="1"/>
  <c r="H245" i="55"/>
  <c r="I252" i="55"/>
  <c r="G139" i="55"/>
  <c r="I197" i="55" s="1"/>
  <c r="H51" i="81"/>
  <c r="H20" i="55" s="1"/>
  <c r="G20" i="55"/>
  <c r="H81" i="81"/>
  <c r="H27" i="72" s="1"/>
  <c r="H51" i="72" s="1"/>
  <c r="G27" i="72"/>
  <c r="G51" i="72" s="1"/>
  <c r="G25" i="55"/>
  <c r="G82" i="55" s="1"/>
  <c r="H56" i="81"/>
  <c r="H25" i="55" s="1"/>
  <c r="H82" i="55" s="1"/>
  <c r="I217" i="53"/>
  <c r="I150" i="53"/>
  <c r="C169" i="29"/>
  <c r="C154" i="29"/>
  <c r="C139" i="29"/>
  <c r="C124" i="29"/>
  <c r="C31" i="29"/>
  <c r="F130" i="55"/>
  <c r="H188" i="55" s="1"/>
  <c r="H243" i="55"/>
  <c r="G242" i="55"/>
  <c r="E129" i="55"/>
  <c r="F187" i="55"/>
  <c r="F229" i="55" s="1"/>
  <c r="F284" i="55"/>
  <c r="F285" i="55"/>
  <c r="I207" i="53"/>
  <c r="I140" i="53"/>
  <c r="F95" i="72"/>
  <c r="H152" i="72"/>
  <c r="F96" i="72"/>
  <c r="F136" i="55"/>
  <c r="H194" i="55" s="1"/>
  <c r="H249" i="55"/>
  <c r="J212" i="53"/>
  <c r="J145" i="53"/>
  <c r="H54" i="81"/>
  <c r="H23" i="55" s="1"/>
  <c r="H80" i="55" s="1"/>
  <c r="G23" i="55"/>
  <c r="G80" i="55" s="1"/>
  <c r="H62" i="81"/>
  <c r="H31" i="55" s="1"/>
  <c r="H88" i="55" s="1"/>
  <c r="G31" i="55"/>
  <c r="G88" i="55" s="1"/>
  <c r="J217" i="53"/>
  <c r="J150" i="53"/>
  <c r="H83" i="81"/>
  <c r="H29" i="72" s="1"/>
  <c r="H53" i="72" s="1"/>
  <c r="G29" i="72"/>
  <c r="G53" i="72" s="1"/>
  <c r="H79" i="81"/>
  <c r="H25" i="72" s="1"/>
  <c r="H49" i="72" s="1"/>
  <c r="G25" i="72"/>
  <c r="G49" i="72" s="1"/>
  <c r="I213" i="53"/>
  <c r="I146" i="53"/>
  <c r="J209" i="53"/>
  <c r="J142" i="53"/>
  <c r="H180" i="55"/>
  <c r="J206" i="53"/>
  <c r="J139" i="53"/>
  <c r="I244" i="55"/>
  <c r="G131" i="55"/>
  <c r="I189" i="55" s="1"/>
  <c r="F77" i="55"/>
  <c r="F46" i="72"/>
  <c r="F134" i="55"/>
  <c r="H192" i="55" s="1"/>
  <c r="H247" i="55"/>
  <c r="I143" i="53"/>
  <c r="I210" i="53"/>
  <c r="H248" i="55"/>
  <c r="F135" i="55"/>
  <c r="H193" i="55" s="1"/>
  <c r="J207" i="53"/>
  <c r="J140" i="53"/>
  <c r="D290" i="55"/>
  <c r="D292" i="55" s="1"/>
  <c r="F7" i="61"/>
  <c r="E21" i="61"/>
  <c r="E42" i="61" s="1"/>
  <c r="G21" i="55"/>
  <c r="G78" i="55" s="1"/>
  <c r="H52" i="81"/>
  <c r="H21" i="55" s="1"/>
  <c r="H78" i="55" s="1"/>
  <c r="G23" i="72"/>
  <c r="G47" i="72" s="1"/>
  <c r="H77" i="81"/>
  <c r="H23" i="72" s="1"/>
  <c r="H47" i="72" s="1"/>
  <c r="G28" i="72"/>
  <c r="G52" i="72" s="1"/>
  <c r="H82" i="81"/>
  <c r="H28" i="72" s="1"/>
  <c r="H52" i="72" s="1"/>
  <c r="H246" i="55"/>
  <c r="F133" i="55"/>
  <c r="H191" i="55" s="1"/>
  <c r="J235" i="55"/>
  <c r="I209" i="53"/>
  <c r="I142" i="53"/>
  <c r="F159" i="72"/>
  <c r="F146" i="72"/>
  <c r="F148" i="72" s="1"/>
  <c r="H58" i="81"/>
  <c r="H27" i="55" s="1"/>
  <c r="H84" i="55" s="1"/>
  <c r="G27" i="55"/>
  <c r="G84" i="55" s="1"/>
  <c r="H131" i="55"/>
  <c r="J244" i="55"/>
  <c r="G139" i="72"/>
  <c r="G144" i="72"/>
  <c r="G160" i="72"/>
  <c r="G161" i="72"/>
  <c r="F140" i="55"/>
  <c r="H198" i="55" s="1"/>
  <c r="H253" i="55"/>
  <c r="H76" i="81"/>
  <c r="H22" i="72" s="1"/>
  <c r="G22" i="72"/>
  <c r="J210" i="53"/>
  <c r="J143" i="53"/>
  <c r="J213" i="53"/>
  <c r="J146" i="53"/>
  <c r="G26" i="55"/>
  <c r="G83" i="55" s="1"/>
  <c r="H57" i="81"/>
  <c r="H26" i="55" s="1"/>
  <c r="H83" i="55" s="1"/>
  <c r="E166" i="72"/>
  <c r="E143" i="84"/>
  <c r="F12" i="23"/>
  <c r="E12" i="23" s="1"/>
  <c r="O37" i="22"/>
  <c r="O38" i="22"/>
  <c r="G38" i="22"/>
  <c r="C30" i="29" l="1"/>
  <c r="F47" i="61"/>
  <c r="E274" i="53"/>
  <c r="E276" i="53" s="1"/>
  <c r="C168" i="29"/>
  <c r="B15" i="21"/>
  <c r="C6" i="68" s="1"/>
  <c r="C153" i="29"/>
  <c r="C123" i="29"/>
  <c r="C130" i="29" s="1"/>
  <c r="J275" i="55"/>
  <c r="H165" i="55"/>
  <c r="I261" i="55"/>
  <c r="G148" i="55"/>
  <c r="I207" i="55" s="1"/>
  <c r="I269" i="55"/>
  <c r="G156" i="55"/>
  <c r="I215" i="55" s="1"/>
  <c r="E143" i="29"/>
  <c r="E128" i="29"/>
  <c r="E158" i="29"/>
  <c r="E173" i="29"/>
  <c r="E35" i="29"/>
  <c r="I260" i="55"/>
  <c r="G147" i="55"/>
  <c r="I206" i="55" s="1"/>
  <c r="G161" i="55"/>
  <c r="I220" i="55" s="1"/>
  <c r="I274" i="55"/>
  <c r="I272" i="55"/>
  <c r="G159" i="55"/>
  <c r="I218" i="55" s="1"/>
  <c r="J263" i="55"/>
  <c r="H150" i="55"/>
  <c r="I262" i="55"/>
  <c r="G149" i="55"/>
  <c r="I208" i="55" s="1"/>
  <c r="G100" i="84"/>
  <c r="G111" i="84" s="1"/>
  <c r="I124" i="84" s="1"/>
  <c r="G99" i="84"/>
  <c r="G110" i="84" s="1"/>
  <c r="G101" i="84"/>
  <c r="G112" i="84" s="1"/>
  <c r="I125" i="84" s="1"/>
  <c r="I136" i="84"/>
  <c r="I132" i="84"/>
  <c r="I133" i="84"/>
  <c r="H39" i="84"/>
  <c r="H45" i="84"/>
  <c r="J267" i="55"/>
  <c r="H154" i="55"/>
  <c r="I271" i="55"/>
  <c r="G158" i="55"/>
  <c r="I217" i="55" s="1"/>
  <c r="E13" i="21"/>
  <c r="H39" i="61"/>
  <c r="G134" i="84"/>
  <c r="H18" i="61" s="1"/>
  <c r="I9" i="61" s="1"/>
  <c r="G135" i="84"/>
  <c r="I277" i="55"/>
  <c r="G167" i="55"/>
  <c r="I226" i="55" s="1"/>
  <c r="J271" i="55"/>
  <c r="H158" i="55"/>
  <c r="J217" i="55" s="1"/>
  <c r="I270" i="55"/>
  <c r="G157" i="55"/>
  <c r="I216" i="55" s="1"/>
  <c r="J273" i="55"/>
  <c r="H160" i="55"/>
  <c r="J260" i="55"/>
  <c r="H147" i="55"/>
  <c r="J206" i="55" s="1"/>
  <c r="J274" i="55"/>
  <c r="H161" i="55"/>
  <c r="J220" i="55" s="1"/>
  <c r="J272" i="55"/>
  <c r="H159" i="55"/>
  <c r="J218" i="55" s="1"/>
  <c r="I276" i="55"/>
  <c r="G166" i="55"/>
  <c r="I225" i="55" s="1"/>
  <c r="J262" i="55"/>
  <c r="H149" i="55"/>
  <c r="J208" i="55" s="1"/>
  <c r="F12" i="84"/>
  <c r="F42" i="84"/>
  <c r="H258" i="55"/>
  <c r="F145" i="55"/>
  <c r="H204" i="55" s="1"/>
  <c r="H100" i="84"/>
  <c r="H111" i="84" s="1"/>
  <c r="J124" i="84" s="1"/>
  <c r="H101" i="84"/>
  <c r="H112" i="84" s="1"/>
  <c r="J125" i="84" s="1"/>
  <c r="H99" i="84"/>
  <c r="H110" i="84" s="1"/>
  <c r="J132" i="84"/>
  <c r="J136" i="84"/>
  <c r="J133" i="84"/>
  <c r="G39" i="84"/>
  <c r="G45" i="84"/>
  <c r="I268" i="55"/>
  <c r="G155" i="55"/>
  <c r="I214" i="55" s="1"/>
  <c r="G93" i="55"/>
  <c r="G61" i="55"/>
  <c r="I266" i="55"/>
  <c r="G153" i="55"/>
  <c r="I212" i="55" s="1"/>
  <c r="J269" i="55"/>
  <c r="H156" i="55"/>
  <c r="J215" i="55" s="1"/>
  <c r="J278" i="55"/>
  <c r="H168" i="55"/>
  <c r="I263" i="55"/>
  <c r="G150" i="55"/>
  <c r="I209" i="55" s="1"/>
  <c r="H137" i="84"/>
  <c r="H138" i="84"/>
  <c r="H123" i="84"/>
  <c r="H128" i="84" s="1"/>
  <c r="I267" i="55"/>
  <c r="G154" i="55"/>
  <c r="I213" i="55" s="1"/>
  <c r="J270" i="55"/>
  <c r="H157" i="55"/>
  <c r="I273" i="55"/>
  <c r="G160" i="55"/>
  <c r="I219" i="55" s="1"/>
  <c r="I275" i="55"/>
  <c r="G165" i="55"/>
  <c r="I224" i="55" s="1"/>
  <c r="I278" i="55"/>
  <c r="G168" i="55"/>
  <c r="I227" i="55" s="1"/>
  <c r="J276" i="55"/>
  <c r="H166" i="55"/>
  <c r="J225" i="55" s="1"/>
  <c r="J277" i="55"/>
  <c r="H167" i="55"/>
  <c r="J261" i="55"/>
  <c r="H148" i="55"/>
  <c r="J268" i="55"/>
  <c r="H155" i="55"/>
  <c r="J214" i="55" s="1"/>
  <c r="H93" i="55"/>
  <c r="H61" i="55"/>
  <c r="J266" i="55"/>
  <c r="H153" i="55"/>
  <c r="J212" i="55" s="1"/>
  <c r="N65" i="22"/>
  <c r="G47" i="22"/>
  <c r="F66" i="22"/>
  <c r="O48" i="22"/>
  <c r="O64" i="22" s="1"/>
  <c r="E95" i="22" s="1"/>
  <c r="O63" i="22"/>
  <c r="E290" i="55"/>
  <c r="Q55" i="22"/>
  <c r="D12" i="21"/>
  <c r="E172" i="29" s="1"/>
  <c r="F260" i="53"/>
  <c r="F262" i="53" s="1"/>
  <c r="D22" i="21" s="1"/>
  <c r="E12" i="72"/>
  <c r="H114" i="53"/>
  <c r="I245" i="53" s="1"/>
  <c r="F36" i="61"/>
  <c r="F41" i="61" s="1"/>
  <c r="B19" i="21"/>
  <c r="F158" i="72"/>
  <c r="G17" i="61" s="1"/>
  <c r="E35" i="72"/>
  <c r="G146" i="72" s="1"/>
  <c r="G148" i="72" s="1"/>
  <c r="Q56" i="22"/>
  <c r="R53" i="22" s="1"/>
  <c r="E65" i="55"/>
  <c r="G200" i="55" s="1"/>
  <c r="F283" i="55"/>
  <c r="G16" i="61" s="1"/>
  <c r="F33" i="55"/>
  <c r="F65" i="55" s="1"/>
  <c r="H200" i="55" s="1"/>
  <c r="G191" i="53"/>
  <c r="H34" i="61" s="1"/>
  <c r="E167" i="72"/>
  <c r="E169" i="72" s="1"/>
  <c r="H188" i="53"/>
  <c r="H187" i="53"/>
  <c r="F32" i="72"/>
  <c r="F12" i="72" s="1"/>
  <c r="I6" i="61"/>
  <c r="H246" i="53"/>
  <c r="E44" i="61"/>
  <c r="E144" i="84"/>
  <c r="E146" i="84" s="1"/>
  <c r="F21" i="61"/>
  <c r="F42" i="61" s="1"/>
  <c r="H118" i="53"/>
  <c r="I250" i="53" s="1"/>
  <c r="I118" i="53"/>
  <c r="J250" i="53" s="1"/>
  <c r="H253" i="53"/>
  <c r="H119" i="53"/>
  <c r="I251" i="53" s="1"/>
  <c r="I119" i="53"/>
  <c r="J251" i="53" s="1"/>
  <c r="H245" i="53"/>
  <c r="D178" i="72"/>
  <c r="D180" i="72" s="1"/>
  <c r="H247" i="53"/>
  <c r="I114" i="53"/>
  <c r="J245" i="53" s="1"/>
  <c r="I115" i="53"/>
  <c r="J246" i="53" s="1"/>
  <c r="H254" i="53"/>
  <c r="G122" i="55"/>
  <c r="J180" i="55" s="1"/>
  <c r="I234" i="55"/>
  <c r="G121" i="55"/>
  <c r="I179" i="55" s="1"/>
  <c r="I148" i="53"/>
  <c r="I215" i="53"/>
  <c r="H60" i="81"/>
  <c r="H29" i="55" s="1"/>
  <c r="H86" i="55" s="1"/>
  <c r="G29" i="55"/>
  <c r="G86" i="55" s="1"/>
  <c r="F137" i="55"/>
  <c r="H195" i="55" s="1"/>
  <c r="H250" i="55"/>
  <c r="G31" i="72"/>
  <c r="G55" i="72" s="1"/>
  <c r="H85" i="81"/>
  <c r="H31" i="72" s="1"/>
  <c r="H55" i="72" s="1"/>
  <c r="J237" i="55"/>
  <c r="H124" i="55"/>
  <c r="J153" i="72"/>
  <c r="H63" i="72"/>
  <c r="H64" i="72"/>
  <c r="I236" i="55"/>
  <c r="G123" i="55"/>
  <c r="I181" i="55" s="1"/>
  <c r="H127" i="55"/>
  <c r="J240" i="55"/>
  <c r="J239" i="55"/>
  <c r="H126" i="55"/>
  <c r="D155" i="84"/>
  <c r="D157" i="84" s="1"/>
  <c r="E157" i="29"/>
  <c r="H115" i="53"/>
  <c r="I246" i="53" s="1"/>
  <c r="H121" i="55"/>
  <c r="J234" i="55"/>
  <c r="J148" i="53"/>
  <c r="J215" i="53"/>
  <c r="F138" i="55"/>
  <c r="H196" i="55" s="1"/>
  <c r="H251" i="55"/>
  <c r="H59" i="81"/>
  <c r="H28" i="55" s="1"/>
  <c r="H85" i="55" s="1"/>
  <c r="G28" i="55"/>
  <c r="G85" i="55" s="1"/>
  <c r="I237" i="55"/>
  <c r="G124" i="55"/>
  <c r="I182" i="55" s="1"/>
  <c r="G64" i="72"/>
  <c r="I153" i="72"/>
  <c r="G63" i="72"/>
  <c r="I140" i="72" s="1"/>
  <c r="H123" i="55"/>
  <c r="J236" i="55"/>
  <c r="G127" i="55"/>
  <c r="I185" i="55" s="1"/>
  <c r="I240" i="55"/>
  <c r="H120" i="55"/>
  <c r="J233" i="55"/>
  <c r="I238" i="55"/>
  <c r="G125" i="55"/>
  <c r="I183" i="55" s="1"/>
  <c r="I233" i="55"/>
  <c r="G120" i="55"/>
  <c r="I178" i="55" s="1"/>
  <c r="J238" i="55"/>
  <c r="H125" i="55"/>
  <c r="J183" i="55" s="1"/>
  <c r="J216" i="53"/>
  <c r="J149" i="53"/>
  <c r="J241" i="55"/>
  <c r="H128" i="55"/>
  <c r="J155" i="72"/>
  <c r="H71" i="72"/>
  <c r="H70" i="72"/>
  <c r="G78" i="72"/>
  <c r="I141" i="72" s="1"/>
  <c r="G79" i="72"/>
  <c r="I154" i="72"/>
  <c r="G30" i="72"/>
  <c r="G54" i="72" s="1"/>
  <c r="H84" i="81"/>
  <c r="H30" i="72" s="1"/>
  <c r="H54" i="72" s="1"/>
  <c r="H184" i="53"/>
  <c r="I116" i="53"/>
  <c r="J247" i="53" s="1"/>
  <c r="H116" i="53"/>
  <c r="I184" i="53" s="1"/>
  <c r="I216" i="53"/>
  <c r="I149" i="53"/>
  <c r="G128" i="55"/>
  <c r="I186" i="55" s="1"/>
  <c r="I241" i="55"/>
  <c r="I155" i="72"/>
  <c r="G70" i="72"/>
  <c r="I142" i="72" s="1"/>
  <c r="G71" i="72"/>
  <c r="H79" i="72"/>
  <c r="J154" i="72"/>
  <c r="H78" i="72"/>
  <c r="I239" i="55"/>
  <c r="G126" i="55"/>
  <c r="I184" i="55" s="1"/>
  <c r="J197" i="55"/>
  <c r="J189" i="55"/>
  <c r="C145" i="29"/>
  <c r="G37" i="61"/>
  <c r="D9" i="21"/>
  <c r="I248" i="55"/>
  <c r="G135" i="55"/>
  <c r="I193" i="55" s="1"/>
  <c r="G46" i="72"/>
  <c r="G136" i="55"/>
  <c r="I194" i="55" s="1"/>
  <c r="I249" i="55"/>
  <c r="G95" i="72"/>
  <c r="I152" i="72"/>
  <c r="G96" i="72"/>
  <c r="J245" i="55"/>
  <c r="H132" i="55"/>
  <c r="G36" i="61"/>
  <c r="D8" i="21"/>
  <c r="H77" i="55"/>
  <c r="J246" i="55"/>
  <c r="H133" i="55"/>
  <c r="F289" i="55"/>
  <c r="G12" i="61"/>
  <c r="H46" i="72"/>
  <c r="J249" i="55"/>
  <c r="H136" i="55"/>
  <c r="H130" i="55"/>
  <c r="J243" i="55"/>
  <c r="E49" i="61"/>
  <c r="E54" i="61" s="1"/>
  <c r="B18" i="21"/>
  <c r="D299" i="55"/>
  <c r="D302" i="55" s="1"/>
  <c r="G262" i="53"/>
  <c r="H242" i="55"/>
  <c r="F129" i="55"/>
  <c r="H140" i="55"/>
  <c r="J253" i="55"/>
  <c r="C175" i="29"/>
  <c r="I180" i="55"/>
  <c r="G282" i="55"/>
  <c r="G283" i="55"/>
  <c r="E289" i="55"/>
  <c r="E292" i="55" s="1"/>
  <c r="F12" i="61"/>
  <c r="G140" i="55"/>
  <c r="I198" i="55" s="1"/>
  <c r="I253" i="55"/>
  <c r="H139" i="72"/>
  <c r="H144" i="72"/>
  <c r="H160" i="72"/>
  <c r="H161" i="72"/>
  <c r="F166" i="72"/>
  <c r="F143" i="84"/>
  <c r="C37" i="29"/>
  <c r="G134" i="55"/>
  <c r="I192" i="55" s="1"/>
  <c r="I247" i="55"/>
  <c r="D169" i="29"/>
  <c r="D154" i="29"/>
  <c r="D139" i="29"/>
  <c r="D124" i="29"/>
  <c r="D31" i="29"/>
  <c r="H135" i="55"/>
  <c r="J248" i="55"/>
  <c r="G158" i="72"/>
  <c r="G157" i="72"/>
  <c r="G130" i="55"/>
  <c r="I188" i="55" s="1"/>
  <c r="I243" i="55"/>
  <c r="G187" i="55"/>
  <c r="G284" i="55"/>
  <c r="G285" i="55"/>
  <c r="C160" i="29"/>
  <c r="D153" i="29"/>
  <c r="D138" i="29"/>
  <c r="C15" i="21"/>
  <c r="D6" i="68" s="1"/>
  <c r="D168" i="29"/>
  <c r="D30" i="29"/>
  <c r="D123" i="29"/>
  <c r="H95" i="72"/>
  <c r="J152" i="72"/>
  <c r="H96" i="72"/>
  <c r="I245" i="55"/>
  <c r="G132" i="55"/>
  <c r="I190" i="55" s="1"/>
  <c r="H134" i="55"/>
  <c r="J247" i="55"/>
  <c r="G77" i="55"/>
  <c r="I246" i="55"/>
  <c r="G133" i="55"/>
  <c r="I191" i="55" s="1"/>
  <c r="H259" i="53"/>
  <c r="R62" i="22"/>
  <c r="H35" i="22"/>
  <c r="P35" i="22"/>
  <c r="G12" i="23"/>
  <c r="C13" i="23" s="1"/>
  <c r="J227" i="55" l="1"/>
  <c r="J213" i="55"/>
  <c r="J207" i="55"/>
  <c r="J216" i="55"/>
  <c r="F13" i="21"/>
  <c r="I39" i="61"/>
  <c r="I258" i="55"/>
  <c r="G145" i="55"/>
  <c r="I204" i="55" s="1"/>
  <c r="G12" i="84"/>
  <c r="G42" i="84"/>
  <c r="J137" i="84"/>
  <c r="J138" i="84"/>
  <c r="J123" i="84"/>
  <c r="J128" i="84" s="1"/>
  <c r="F128" i="29"/>
  <c r="F158" i="29"/>
  <c r="F143" i="29"/>
  <c r="F173" i="29"/>
  <c r="F35" i="29"/>
  <c r="J209" i="55"/>
  <c r="J258" i="55"/>
  <c r="H145" i="55"/>
  <c r="J204" i="55" s="1"/>
  <c r="J219" i="55"/>
  <c r="J224" i="55"/>
  <c r="I138" i="84"/>
  <c r="I123" i="84"/>
  <c r="I128" i="84" s="1"/>
  <c r="I137" i="84"/>
  <c r="I182" i="53"/>
  <c r="J226" i="55"/>
  <c r="H134" i="84"/>
  <c r="I18" i="61" s="1"/>
  <c r="J9" i="61" s="1"/>
  <c r="H135" i="84"/>
  <c r="H12" i="84"/>
  <c r="H42" i="84"/>
  <c r="J193" i="55"/>
  <c r="G50" i="22"/>
  <c r="G63" i="22"/>
  <c r="F13" i="69" s="1"/>
  <c r="F15" i="69" s="1"/>
  <c r="O50" i="22"/>
  <c r="O49" i="22"/>
  <c r="O65" i="22" s="1"/>
  <c r="E34" i="29"/>
  <c r="F44" i="61"/>
  <c r="G47" i="61"/>
  <c r="F274" i="53"/>
  <c r="F276" i="53" s="1"/>
  <c r="E142" i="29"/>
  <c r="E127" i="29"/>
  <c r="G229" i="55"/>
  <c r="E8" i="21" s="1"/>
  <c r="F10" i="55"/>
  <c r="H283" i="55" s="1"/>
  <c r="G159" i="72"/>
  <c r="H17" i="61" s="1"/>
  <c r="G144" i="84" s="1"/>
  <c r="E12" i="21"/>
  <c r="F142" i="29" s="1"/>
  <c r="H7" i="61"/>
  <c r="G289" i="55" s="1"/>
  <c r="F290" i="55"/>
  <c r="F292" i="55" s="1"/>
  <c r="F299" i="55" s="1"/>
  <c r="F302" i="55" s="1"/>
  <c r="I187" i="53"/>
  <c r="R54" i="22"/>
  <c r="R55" i="22" s="1"/>
  <c r="F35" i="72"/>
  <c r="H159" i="72" s="1"/>
  <c r="H156" i="72"/>
  <c r="H191" i="53"/>
  <c r="F12" i="21" s="1"/>
  <c r="G34" i="29" s="1"/>
  <c r="G21" i="61"/>
  <c r="G42" i="61" s="1"/>
  <c r="I15" i="61"/>
  <c r="H260" i="53" s="1"/>
  <c r="H262" i="53" s="1"/>
  <c r="J187" i="53"/>
  <c r="J182" i="53"/>
  <c r="E55" i="61"/>
  <c r="C11" i="68" s="1"/>
  <c r="C27" i="68" s="1"/>
  <c r="C28" i="68" s="1"/>
  <c r="G41" i="61"/>
  <c r="I183" i="53"/>
  <c r="J188" i="53"/>
  <c r="J253" i="53"/>
  <c r="H16" i="61"/>
  <c r="I7" i="61" s="1"/>
  <c r="I188" i="53"/>
  <c r="J183" i="53"/>
  <c r="J254" i="53"/>
  <c r="J184" i="53"/>
  <c r="I253" i="53"/>
  <c r="J198" i="55"/>
  <c r="J194" i="55"/>
  <c r="J186" i="55"/>
  <c r="B25" i="21"/>
  <c r="C39" i="29" s="1"/>
  <c r="J179" i="55"/>
  <c r="J142" i="72"/>
  <c r="J182" i="55"/>
  <c r="G33" i="55"/>
  <c r="G10" i="55" s="1"/>
  <c r="I247" i="53"/>
  <c r="J15" i="61" s="1"/>
  <c r="K6" i="61" s="1"/>
  <c r="I250" i="55"/>
  <c r="G137" i="55"/>
  <c r="I195" i="55" s="1"/>
  <c r="H138" i="55"/>
  <c r="J251" i="55"/>
  <c r="H32" i="72"/>
  <c r="H12" i="72" s="1"/>
  <c r="H33" i="55"/>
  <c r="H65" i="55" s="1"/>
  <c r="J200" i="55" s="1"/>
  <c r="G32" i="72"/>
  <c r="G35" i="72" s="1"/>
  <c r="J141" i="72"/>
  <c r="H137" i="55"/>
  <c r="J250" i="55"/>
  <c r="J184" i="55"/>
  <c r="I254" i="53"/>
  <c r="J178" i="55"/>
  <c r="J181" i="55"/>
  <c r="J185" i="55"/>
  <c r="J140" i="72"/>
  <c r="I251" i="55"/>
  <c r="G138" i="55"/>
  <c r="I196" i="55" s="1"/>
  <c r="D175" i="29"/>
  <c r="D130" i="29"/>
  <c r="K15" i="61"/>
  <c r="J260" i="53" s="1"/>
  <c r="C19" i="21"/>
  <c r="F50" i="61"/>
  <c r="E178" i="72"/>
  <c r="E180" i="72" s="1"/>
  <c r="H36" i="61"/>
  <c r="I242" i="55"/>
  <c r="G129" i="55"/>
  <c r="J139" i="72"/>
  <c r="J144" i="72"/>
  <c r="J161" i="72"/>
  <c r="J160" i="72"/>
  <c r="C23" i="21"/>
  <c r="F52" i="61"/>
  <c r="E155" i="84"/>
  <c r="E157" i="84" s="1"/>
  <c r="E299" i="55"/>
  <c r="E302" i="55" s="1"/>
  <c r="F49" i="61"/>
  <c r="C18" i="21"/>
  <c r="J242" i="55"/>
  <c r="H129" i="55"/>
  <c r="J190" i="55"/>
  <c r="I139" i="72"/>
  <c r="I144" i="72"/>
  <c r="I161" i="72"/>
  <c r="I160" i="72"/>
  <c r="H37" i="61"/>
  <c r="E9" i="21"/>
  <c r="H187" i="55"/>
  <c r="H229" i="55" s="1"/>
  <c r="H284" i="55"/>
  <c r="H285" i="55"/>
  <c r="H8" i="61"/>
  <c r="F167" i="72"/>
  <c r="F169" i="72" s="1"/>
  <c r="F144" i="84"/>
  <c r="F146" i="84" s="1"/>
  <c r="E22" i="21"/>
  <c r="H47" i="61"/>
  <c r="G274" i="53"/>
  <c r="G276" i="53" s="1"/>
  <c r="E168" i="29"/>
  <c r="E153" i="29"/>
  <c r="E138" i="29"/>
  <c r="E123" i="29"/>
  <c r="D15" i="21"/>
  <c r="E6" i="68" s="1"/>
  <c r="E30" i="29"/>
  <c r="E31" i="29"/>
  <c r="E169" i="29"/>
  <c r="E154" i="29"/>
  <c r="E139" i="29"/>
  <c r="E124" i="29"/>
  <c r="D145" i="29"/>
  <c r="J192" i="55"/>
  <c r="D37" i="29"/>
  <c r="D160" i="29"/>
  <c r="H158" i="72"/>
  <c r="H157" i="72"/>
  <c r="H282" i="55"/>
  <c r="J188" i="55"/>
  <c r="J191" i="55"/>
  <c r="P36" i="22"/>
  <c r="P38" i="22" s="1"/>
  <c r="H38" i="22"/>
  <c r="D13" i="23"/>
  <c r="I34" i="61" l="1"/>
  <c r="I135" i="84"/>
  <c r="I134" i="84"/>
  <c r="J18" i="61" s="1"/>
  <c r="K9" i="61" s="1"/>
  <c r="J134" i="84"/>
  <c r="J135" i="84"/>
  <c r="K39" i="61"/>
  <c r="H13" i="21"/>
  <c r="G173" i="29"/>
  <c r="G35" i="29"/>
  <c r="G158" i="29"/>
  <c r="G143" i="29"/>
  <c r="G128" i="29"/>
  <c r="J39" i="61"/>
  <c r="G13" i="21"/>
  <c r="P47" i="22"/>
  <c r="O66" i="22"/>
  <c r="H47" i="22"/>
  <c r="G66" i="22"/>
  <c r="G172" i="29"/>
  <c r="C148" i="29"/>
  <c r="C149" i="29" s="1"/>
  <c r="C150" i="29" s="1"/>
  <c r="F157" i="29"/>
  <c r="F34" i="29"/>
  <c r="F127" i="29"/>
  <c r="F172" i="29"/>
  <c r="H12" i="61"/>
  <c r="H146" i="72"/>
  <c r="H148" i="72" s="1"/>
  <c r="I37" i="61" s="1"/>
  <c r="G127" i="29"/>
  <c r="G142" i="29"/>
  <c r="G157" i="29"/>
  <c r="R56" i="22"/>
  <c r="I191" i="53"/>
  <c r="J34" i="61" s="1"/>
  <c r="G44" i="61"/>
  <c r="J6" i="61"/>
  <c r="I259" i="53" s="1"/>
  <c r="C163" i="29"/>
  <c r="C164" i="29" s="1"/>
  <c r="C165" i="29" s="1"/>
  <c r="G65" i="55"/>
  <c r="I200" i="55" s="1"/>
  <c r="J191" i="53"/>
  <c r="H12" i="21" s="1"/>
  <c r="I172" i="29" s="1"/>
  <c r="G49" i="61"/>
  <c r="E56" i="61"/>
  <c r="J41" i="21" s="1"/>
  <c r="H10" i="55"/>
  <c r="J282" i="55" s="1"/>
  <c r="H35" i="72"/>
  <c r="J159" i="72" s="1"/>
  <c r="C22" i="68"/>
  <c r="G290" i="55"/>
  <c r="G292" i="55" s="1"/>
  <c r="C133" i="29"/>
  <c r="C134" i="29" s="1"/>
  <c r="C135" i="29" s="1"/>
  <c r="C178" i="29"/>
  <c r="C179" i="29" s="1"/>
  <c r="C180" i="29" s="1"/>
  <c r="B38" i="21"/>
  <c r="B40" i="21" s="1"/>
  <c r="B45" i="21" s="1"/>
  <c r="D18" i="21"/>
  <c r="G167" i="72"/>
  <c r="I8" i="61"/>
  <c r="I12" i="61" s="1"/>
  <c r="J196" i="55"/>
  <c r="I156" i="72"/>
  <c r="J156" i="72"/>
  <c r="I260" i="53"/>
  <c r="G12" i="72"/>
  <c r="I158" i="72" s="1"/>
  <c r="J195" i="55"/>
  <c r="C25" i="21"/>
  <c r="H21" i="61"/>
  <c r="H42" i="61" s="1"/>
  <c r="I17" i="61"/>
  <c r="J8" i="61" s="1"/>
  <c r="E145" i="29"/>
  <c r="I16" i="61"/>
  <c r="J7" i="61" s="1"/>
  <c r="E175" i="29"/>
  <c r="I282" i="55"/>
  <c r="I283" i="55"/>
  <c r="I36" i="61"/>
  <c r="F8" i="21"/>
  <c r="H289" i="55"/>
  <c r="E37" i="29"/>
  <c r="E160" i="29"/>
  <c r="F169" i="29"/>
  <c r="F31" i="29"/>
  <c r="F154" i="29"/>
  <c r="F139" i="29"/>
  <c r="F124" i="29"/>
  <c r="F54" i="61"/>
  <c r="F55" i="61" s="1"/>
  <c r="D11" i="68" s="1"/>
  <c r="I187" i="55"/>
  <c r="I284" i="55"/>
  <c r="I285" i="55"/>
  <c r="F30" i="29"/>
  <c r="E15" i="21"/>
  <c r="F6" i="68" s="1"/>
  <c r="F168" i="29"/>
  <c r="F153" i="29"/>
  <c r="F138" i="29"/>
  <c r="F123" i="29"/>
  <c r="J158" i="72"/>
  <c r="J157" i="72"/>
  <c r="G52" i="61"/>
  <c r="D23" i="21"/>
  <c r="F155" i="84"/>
  <c r="F157" i="84" s="1"/>
  <c r="I159" i="72"/>
  <c r="I146" i="72"/>
  <c r="I148" i="72" s="1"/>
  <c r="J187" i="55"/>
  <c r="J285" i="55"/>
  <c r="J284" i="55"/>
  <c r="G166" i="72"/>
  <c r="G143" i="84"/>
  <c r="G146" i="84" s="1"/>
  <c r="J259" i="53"/>
  <c r="J262" i="53" s="1"/>
  <c r="E130" i="29"/>
  <c r="D19" i="21"/>
  <c r="F178" i="72"/>
  <c r="F180" i="72" s="1"/>
  <c r="G50" i="61"/>
  <c r="F22" i="21"/>
  <c r="I47" i="61"/>
  <c r="H274" i="53"/>
  <c r="H276" i="53" s="1"/>
  <c r="H41" i="61"/>
  <c r="Q35" i="22"/>
  <c r="F13" i="23"/>
  <c r="E13" i="23" s="1"/>
  <c r="P37" i="22"/>
  <c r="I35" i="22"/>
  <c r="C41" i="29" l="1"/>
  <c r="C45" i="29" s="1"/>
  <c r="K18" i="61"/>
  <c r="I173" i="29"/>
  <c r="I158" i="29"/>
  <c r="I35" i="29"/>
  <c r="I128" i="29"/>
  <c r="I143" i="29"/>
  <c r="H158" i="29"/>
  <c r="H128" i="29"/>
  <c r="H173" i="29"/>
  <c r="H143" i="29"/>
  <c r="H35" i="29"/>
  <c r="H50" i="22"/>
  <c r="H63" i="22"/>
  <c r="G13" i="69" s="1"/>
  <c r="G15" i="69" s="1"/>
  <c r="P48" i="22"/>
  <c r="P50" i="22" s="1"/>
  <c r="P63" i="22"/>
  <c r="I262" i="53"/>
  <c r="I274" i="53" s="1"/>
  <c r="I276" i="53" s="1"/>
  <c r="C38" i="21"/>
  <c r="C40" i="21" s="1"/>
  <c r="C45" i="21" s="1"/>
  <c r="D39" i="29"/>
  <c r="G12" i="21"/>
  <c r="H142" i="29" s="1"/>
  <c r="F9" i="21"/>
  <c r="G31" i="29" s="1"/>
  <c r="I127" i="29"/>
  <c r="I142" i="29"/>
  <c r="J283" i="55"/>
  <c r="K16" i="61" s="1"/>
  <c r="J290" i="55" s="1"/>
  <c r="I229" i="55"/>
  <c r="G8" i="21" s="1"/>
  <c r="H166" i="72"/>
  <c r="I157" i="29"/>
  <c r="H143" i="84"/>
  <c r="I34" i="29"/>
  <c r="K34" i="61"/>
  <c r="J229" i="55"/>
  <c r="K36" i="61" s="1"/>
  <c r="D11" i="62"/>
  <c r="D12" i="62" s="1"/>
  <c r="C13" i="29" s="1"/>
  <c r="G169" i="72"/>
  <c r="H50" i="61" s="1"/>
  <c r="J146" i="72"/>
  <c r="J148" i="72" s="1"/>
  <c r="H9" i="21" s="1"/>
  <c r="C107" i="29"/>
  <c r="H44" i="61"/>
  <c r="D148" i="29"/>
  <c r="D149" i="29" s="1"/>
  <c r="D150" i="29" s="1"/>
  <c r="D163" i="29"/>
  <c r="D164" i="29" s="1"/>
  <c r="D165" i="29" s="1"/>
  <c r="D178" i="29"/>
  <c r="D179" i="29" s="1"/>
  <c r="D180" i="29" s="1"/>
  <c r="I157" i="72"/>
  <c r="J17" i="61" s="1"/>
  <c r="I167" i="72" s="1"/>
  <c r="I21" i="61"/>
  <c r="I42" i="61" s="1"/>
  <c r="D133" i="29"/>
  <c r="D134" i="29" s="1"/>
  <c r="D135" i="29" s="1"/>
  <c r="D22" i="68"/>
  <c r="H144" i="84"/>
  <c r="H167" i="72"/>
  <c r="F130" i="29"/>
  <c r="G54" i="61"/>
  <c r="G55" i="61" s="1"/>
  <c r="E11" i="68" s="1"/>
  <c r="E27" i="68" s="1"/>
  <c r="E28" i="68" s="1"/>
  <c r="F160" i="29"/>
  <c r="J16" i="61"/>
  <c r="I290" i="55" s="1"/>
  <c r="H290" i="55"/>
  <c r="H292" i="55" s="1"/>
  <c r="D25" i="21"/>
  <c r="F175" i="29"/>
  <c r="G9" i="21"/>
  <c r="J37" i="61"/>
  <c r="H52" i="61"/>
  <c r="E23" i="21"/>
  <c r="G155" i="84"/>
  <c r="G157" i="84" s="1"/>
  <c r="D27" i="68"/>
  <c r="D28" i="68" s="1"/>
  <c r="D12" i="68"/>
  <c r="E18" i="21"/>
  <c r="G299" i="55"/>
  <c r="G302" i="55" s="1"/>
  <c r="H49" i="61"/>
  <c r="G168" i="29"/>
  <c r="G30" i="29"/>
  <c r="G153" i="29"/>
  <c r="G138" i="29"/>
  <c r="G123" i="29"/>
  <c r="K47" i="61"/>
  <c r="H22" i="21"/>
  <c r="J274" i="53"/>
  <c r="J276" i="53" s="1"/>
  <c r="K17" i="61"/>
  <c r="F145" i="29"/>
  <c r="F37" i="29"/>
  <c r="I41" i="61"/>
  <c r="I166" i="72"/>
  <c r="I143" i="84"/>
  <c r="I289" i="55"/>
  <c r="J12" i="61"/>
  <c r="I38" i="22"/>
  <c r="G13" i="23"/>
  <c r="C14" i="23" s="1"/>
  <c r="Q36" i="22"/>
  <c r="D41" i="29" l="1"/>
  <c r="D45" i="29" s="1"/>
  <c r="G124" i="29"/>
  <c r="E19" i="21"/>
  <c r="E25" i="21" s="1"/>
  <c r="F39" i="29" s="1"/>
  <c r="G22" i="21"/>
  <c r="J47" i="61"/>
  <c r="Q47" i="22"/>
  <c r="P66" i="22"/>
  <c r="P49" i="22"/>
  <c r="P65" i="22" s="1"/>
  <c r="P64" i="22"/>
  <c r="F95" i="22" s="1"/>
  <c r="I47" i="22"/>
  <c r="H66" i="22"/>
  <c r="D107" i="29"/>
  <c r="H127" i="29"/>
  <c r="H172" i="29"/>
  <c r="H34" i="29"/>
  <c r="G169" i="29"/>
  <c r="G175" i="29" s="1"/>
  <c r="G139" i="29"/>
  <c r="E148" i="29"/>
  <c r="E149" i="29" s="1"/>
  <c r="E150" i="29" s="1"/>
  <c r="E39" i="29"/>
  <c r="E41" i="29" s="1"/>
  <c r="E45" i="29" s="1"/>
  <c r="G154" i="29"/>
  <c r="G160" i="29" s="1"/>
  <c r="F15" i="21"/>
  <c r="G6" i="68" s="1"/>
  <c r="H157" i="29"/>
  <c r="J36" i="61"/>
  <c r="J41" i="61" s="1"/>
  <c r="H169" i="72"/>
  <c r="I50" i="61" s="1"/>
  <c r="H8" i="21"/>
  <c r="I138" i="29" s="1"/>
  <c r="C69" i="29"/>
  <c r="E21" i="62"/>
  <c r="C7" i="68" s="1"/>
  <c r="C12" i="68" s="1"/>
  <c r="C92" i="29"/>
  <c r="H146" i="84"/>
  <c r="F23" i="21" s="1"/>
  <c r="C81" i="29"/>
  <c r="K37" i="61"/>
  <c r="K41" i="61" s="1"/>
  <c r="D20" i="29"/>
  <c r="G178" i="72"/>
  <c r="G180" i="72" s="1"/>
  <c r="K21" i="61"/>
  <c r="K42" i="61" s="1"/>
  <c r="I44" i="61"/>
  <c r="E133" i="29"/>
  <c r="E134" i="29" s="1"/>
  <c r="E135" i="29" s="1"/>
  <c r="D38" i="21"/>
  <c r="D40" i="21" s="1"/>
  <c r="D45" i="21" s="1"/>
  <c r="K8" i="61"/>
  <c r="J166" i="72" s="1"/>
  <c r="E178" i="29"/>
  <c r="E179" i="29" s="1"/>
  <c r="E180" i="29" s="1"/>
  <c r="E22" i="68"/>
  <c r="E163" i="29"/>
  <c r="E164" i="29" s="1"/>
  <c r="E165" i="29" s="1"/>
  <c r="E12" i="68"/>
  <c r="H54" i="61"/>
  <c r="H55" i="61" s="1"/>
  <c r="F11" i="68" s="1"/>
  <c r="F12" i="68" s="1"/>
  <c r="G37" i="29"/>
  <c r="I144" i="84"/>
  <c r="I146" i="84" s="1"/>
  <c r="K7" i="61"/>
  <c r="J289" i="55" s="1"/>
  <c r="J292" i="55" s="1"/>
  <c r="J21" i="61"/>
  <c r="J42" i="61" s="1"/>
  <c r="J167" i="72"/>
  <c r="J144" i="84"/>
  <c r="I169" i="72"/>
  <c r="I31" i="29"/>
  <c r="I154" i="29"/>
  <c r="I169" i="29"/>
  <c r="I139" i="29"/>
  <c r="I124" i="29"/>
  <c r="I292" i="55"/>
  <c r="H169" i="29"/>
  <c r="H139" i="29"/>
  <c r="H124" i="29"/>
  <c r="H154" i="29"/>
  <c r="H31" i="29"/>
  <c r="G15" i="21"/>
  <c r="H6" i="68" s="1"/>
  <c r="H168" i="29"/>
  <c r="H153" i="29"/>
  <c r="H138" i="29"/>
  <c r="H123" i="29"/>
  <c r="H30" i="29"/>
  <c r="G130" i="29"/>
  <c r="F18" i="21"/>
  <c r="I49" i="61"/>
  <c r="H299" i="55"/>
  <c r="H302" i="55" s="1"/>
  <c r="G145" i="29"/>
  <c r="D14" i="23"/>
  <c r="Q37" i="22"/>
  <c r="Q38" i="22"/>
  <c r="I50" i="22" l="1"/>
  <c r="I66" i="22" s="1"/>
  <c r="I63" i="22"/>
  <c r="H13" i="69" s="1"/>
  <c r="H15" i="69" s="1"/>
  <c r="Q48" i="22"/>
  <c r="Q50" i="22" s="1"/>
  <c r="Q63" i="22"/>
  <c r="H178" i="72"/>
  <c r="H180" i="72" s="1"/>
  <c r="F19" i="21"/>
  <c r="F25" i="21" s="1"/>
  <c r="G39" i="29" s="1"/>
  <c r="I153" i="29"/>
  <c r="I160" i="29" s="1"/>
  <c r="I30" i="29"/>
  <c r="I37" i="29" s="1"/>
  <c r="H15" i="21"/>
  <c r="I6" i="68" s="1"/>
  <c r="I168" i="29"/>
  <c r="I175" i="29" s="1"/>
  <c r="I123" i="29"/>
  <c r="I130" i="29" s="1"/>
  <c r="B33" i="69"/>
  <c r="C33" i="69" s="1"/>
  <c r="D33" i="69" s="1"/>
  <c r="E33" i="69" s="1"/>
  <c r="F33" i="69" s="1"/>
  <c r="G33" i="69" s="1"/>
  <c r="H33" i="69" s="1"/>
  <c r="E22" i="62"/>
  <c r="I52" i="61"/>
  <c r="I54" i="61" s="1"/>
  <c r="I55" i="61" s="1"/>
  <c r="G11" i="68" s="1"/>
  <c r="G27" i="68" s="1"/>
  <c r="G28" i="68" s="1"/>
  <c r="K44" i="61"/>
  <c r="H155" i="84"/>
  <c r="H157" i="84" s="1"/>
  <c r="E107" i="29"/>
  <c r="J44" i="61"/>
  <c r="F27" i="68"/>
  <c r="F28" i="68" s="1"/>
  <c r="J143" i="84"/>
  <c r="J146" i="84" s="1"/>
  <c r="H23" i="21" s="1"/>
  <c r="H130" i="29"/>
  <c r="H37" i="29"/>
  <c r="H175" i="29"/>
  <c r="K12" i="61"/>
  <c r="H18" i="21"/>
  <c r="K49" i="61"/>
  <c r="J299" i="55"/>
  <c r="J302" i="55" s="1"/>
  <c r="G19" i="21"/>
  <c r="J50" i="61"/>
  <c r="I178" i="72"/>
  <c r="I180" i="72" s="1"/>
  <c r="J169" i="72"/>
  <c r="J49" i="61"/>
  <c r="I299" i="55"/>
  <c r="I302" i="55" s="1"/>
  <c r="G18" i="21"/>
  <c r="H145" i="29"/>
  <c r="H160" i="29"/>
  <c r="G23" i="21"/>
  <c r="J52" i="61"/>
  <c r="I155" i="84"/>
  <c r="I157" i="84" s="1"/>
  <c r="F22" i="68"/>
  <c r="F148" i="29"/>
  <c r="F149" i="29" s="1"/>
  <c r="F150" i="29" s="1"/>
  <c r="F41" i="29"/>
  <c r="F45" i="29" s="1"/>
  <c r="F178" i="29"/>
  <c r="F179" i="29" s="1"/>
  <c r="F180" i="29" s="1"/>
  <c r="F133" i="29"/>
  <c r="F134" i="29" s="1"/>
  <c r="F135" i="29" s="1"/>
  <c r="F163" i="29"/>
  <c r="F164" i="29" s="1"/>
  <c r="F165" i="29" s="1"/>
  <c r="E38" i="21"/>
  <c r="E40" i="21" s="1"/>
  <c r="I145" i="29"/>
  <c r="R35" i="22"/>
  <c r="F14" i="23"/>
  <c r="E14" i="23" s="1"/>
  <c r="R47" i="22" l="1"/>
  <c r="R63" i="22" s="1"/>
  <c r="Q66" i="22"/>
  <c r="Q49" i="22"/>
  <c r="Q65" i="22" s="1"/>
  <c r="Q64" i="22"/>
  <c r="G95" i="22" s="1"/>
  <c r="G12" i="68"/>
  <c r="K52" i="61"/>
  <c r="J155" i="84"/>
  <c r="J157" i="84" s="1"/>
  <c r="J54" i="61"/>
  <c r="J55" i="61" s="1"/>
  <c r="H11" i="68" s="1"/>
  <c r="H27" i="68" s="1"/>
  <c r="H28" i="68" s="1"/>
  <c r="G25" i="21"/>
  <c r="F107" i="29"/>
  <c r="E45" i="21"/>
  <c r="G22" i="68"/>
  <c r="G178" i="29"/>
  <c r="G179" i="29" s="1"/>
  <c r="G180" i="29" s="1"/>
  <c r="G133" i="29"/>
  <c r="G134" i="29" s="1"/>
  <c r="G135" i="29" s="1"/>
  <c r="G41" i="29"/>
  <c r="G45" i="29" s="1"/>
  <c r="G163" i="29"/>
  <c r="G164" i="29" s="1"/>
  <c r="G165" i="29" s="1"/>
  <c r="G148" i="29"/>
  <c r="G149" i="29" s="1"/>
  <c r="G150" i="29" s="1"/>
  <c r="F38" i="21"/>
  <c r="F40" i="21" s="1"/>
  <c r="H19" i="21"/>
  <c r="H25" i="21" s="1"/>
  <c r="I39" i="29" s="1"/>
  <c r="K50" i="61"/>
  <c r="J178" i="72"/>
  <c r="J180" i="72" s="1"/>
  <c r="G14" i="23"/>
  <c r="C15" i="23" s="1"/>
  <c r="R36" i="22"/>
  <c r="R38" i="22" s="1"/>
  <c r="R48" i="22" l="1"/>
  <c r="R49" i="22" s="1"/>
  <c r="H133" i="29"/>
  <c r="H134" i="29" s="1"/>
  <c r="H135" i="29" s="1"/>
  <c r="H39" i="29"/>
  <c r="K54" i="61"/>
  <c r="K55" i="61" s="1"/>
  <c r="I11" i="68" s="1"/>
  <c r="I12" i="68" s="1"/>
  <c r="H12" i="68"/>
  <c r="H148" i="29"/>
  <c r="H149" i="29" s="1"/>
  <c r="H150" i="29" s="1"/>
  <c r="H163" i="29"/>
  <c r="H164" i="29" s="1"/>
  <c r="H165" i="29" s="1"/>
  <c r="H178" i="29"/>
  <c r="H179" i="29" s="1"/>
  <c r="H180" i="29" s="1"/>
  <c r="G38" i="21"/>
  <c r="G40" i="21" s="1"/>
  <c r="H107" i="29" s="1"/>
  <c r="H22" i="68"/>
  <c r="H41" i="29"/>
  <c r="H45" i="29" s="1"/>
  <c r="I163" i="29"/>
  <c r="I164" i="29" s="1"/>
  <c r="I165" i="29" s="1"/>
  <c r="I41" i="29"/>
  <c r="I45" i="29" s="1"/>
  <c r="I22" i="68"/>
  <c r="I148" i="29"/>
  <c r="I149" i="29" s="1"/>
  <c r="I150" i="29" s="1"/>
  <c r="I178" i="29"/>
  <c r="I179" i="29" s="1"/>
  <c r="I180" i="29" s="1"/>
  <c r="I133" i="29"/>
  <c r="I134" i="29" s="1"/>
  <c r="I135" i="29" s="1"/>
  <c r="H38" i="21"/>
  <c r="H40" i="21" s="1"/>
  <c r="G107" i="29"/>
  <c r="F45" i="21"/>
  <c r="D15" i="23"/>
  <c r="F15" i="23" s="1"/>
  <c r="E15" i="23" s="1"/>
  <c r="G15" i="23" s="1"/>
  <c r="C16" i="23" s="1"/>
  <c r="R37" i="22"/>
  <c r="R65" i="22" l="1"/>
  <c r="R64" i="22"/>
  <c r="H95" i="22" s="1"/>
  <c r="R50" i="22"/>
  <c r="R66" i="22" s="1"/>
  <c r="C47" i="29"/>
  <c r="D28" i="62" s="1"/>
  <c r="I27" i="68"/>
  <c r="I28" i="68" s="1"/>
  <c r="G45" i="21"/>
  <c r="I107" i="29"/>
  <c r="H45" i="21"/>
  <c r="D16" i="23"/>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B47" i="21" s="1"/>
  <c r="B49" i="21" l="1"/>
  <c r="C110" i="29"/>
  <c r="C111" i="29" s="1"/>
  <c r="C25" i="68"/>
  <c r="G21" i="23"/>
  <c r="C22" i="23" l="1"/>
  <c r="B28" i="69"/>
  <c r="B31" i="69" s="1"/>
  <c r="C113" i="29"/>
  <c r="C115" i="29" s="1"/>
  <c r="B93" i="22"/>
  <c r="B96" i="22" s="1"/>
  <c r="J40" i="21"/>
  <c r="J42" i="21" s="1"/>
  <c r="B97" i="22" l="1"/>
  <c r="B50" i="21" s="1"/>
  <c r="D22" i="23"/>
  <c r="C29" i="68" l="1"/>
  <c r="C30" i="68" s="1"/>
  <c r="C31" i="68" s="1"/>
  <c r="C33" i="68" s="1"/>
  <c r="B51" i="21"/>
  <c r="E22" i="23"/>
  <c r="D93" i="29" l="1"/>
  <c r="D96" i="29" s="1"/>
  <c r="D97" i="29" s="1"/>
  <c r="D7" i="29"/>
  <c r="D12" i="29" s="1"/>
  <c r="D13" i="29" s="1"/>
  <c r="C78" i="29"/>
  <c r="C56" i="29"/>
  <c r="C61" i="29" s="1"/>
  <c r="C65" i="29" s="1"/>
  <c r="B53" i="21"/>
  <c r="B37" i="69" s="1"/>
  <c r="B39" i="69" s="1"/>
  <c r="B41" i="69" s="1"/>
  <c r="B43" i="69" s="1"/>
  <c r="B8" i="69"/>
  <c r="B11" i="69" s="1"/>
  <c r="B20" i="69" s="1"/>
  <c r="D32" i="68"/>
  <c r="G22" i="23"/>
  <c r="C23" i="23" s="1"/>
  <c r="B46" i="69" l="1"/>
  <c r="C36" i="69"/>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47" i="21" l="1"/>
  <c r="C49" i="21" s="1"/>
  <c r="D110" i="29"/>
  <c r="D111" i="29" s="1"/>
  <c r="D25" i="68"/>
  <c r="G33" i="23"/>
  <c r="C34" i="23" l="1"/>
  <c r="C28" i="69"/>
  <c r="C31" i="69" s="1"/>
  <c r="D113" i="29"/>
  <c r="D115" i="29" s="1"/>
  <c r="C93" i="22"/>
  <c r="C96" i="22" s="1"/>
  <c r="C97" i="22" s="1"/>
  <c r="C50" i="21" s="1"/>
  <c r="D29" i="68" s="1"/>
  <c r="D30" i="68" s="1"/>
  <c r="D31" i="68" s="1"/>
  <c r="D33" i="68" s="1"/>
  <c r="E32" i="68" l="1"/>
  <c r="C8" i="69"/>
  <c r="C11" i="69" s="1"/>
  <c r="C20" i="69" s="1"/>
  <c r="C51" i="21"/>
  <c r="D34" i="23"/>
  <c r="C37" i="69" l="1"/>
  <c r="C39" i="69" s="1"/>
  <c r="D78" i="29"/>
  <c r="E93" i="29"/>
  <c r="E96" i="29" s="1"/>
  <c r="E97" i="29" s="1"/>
  <c r="D56" i="29"/>
  <c r="D61" i="29" s="1"/>
  <c r="D65" i="29" s="1"/>
  <c r="E7" i="29"/>
  <c r="E12" i="29" s="1"/>
  <c r="C53" i="21"/>
  <c r="E34" i="23"/>
  <c r="G34" i="23" l="1"/>
  <c r="C35" i="23" s="1"/>
  <c r="E13" i="29"/>
  <c r="D36" i="69"/>
  <c r="C41" i="69"/>
  <c r="C43" i="69" s="1"/>
  <c r="C46" i="69"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D49" i="21" s="1"/>
  <c r="E110" i="29"/>
  <c r="E111" i="29" s="1"/>
  <c r="E25" i="68"/>
  <c r="G45" i="23"/>
  <c r="C46" i="23" l="1"/>
  <c r="D28" i="69"/>
  <c r="D31" i="69" s="1"/>
  <c r="E113" i="29"/>
  <c r="E115" i="29" s="1"/>
  <c r="D93" i="22"/>
  <c r="D96" i="22" s="1"/>
  <c r="D97" i="22" s="1"/>
  <c r="D50" i="21" s="1"/>
  <c r="E29" i="68" s="1"/>
  <c r="E30" i="68" s="1"/>
  <c r="E31" i="68" s="1"/>
  <c r="E33" i="68" s="1"/>
  <c r="F32" i="68" l="1"/>
  <c r="D8" i="69"/>
  <c r="D11" i="69" s="1"/>
  <c r="D20" i="69" s="1"/>
  <c r="D51" i="21"/>
  <c r="D46" i="23"/>
  <c r="D37" i="69" l="1"/>
  <c r="D39" i="69" s="1"/>
  <c r="F7" i="29"/>
  <c r="F12" i="29" s="1"/>
  <c r="E56" i="29"/>
  <c r="E61" i="29" s="1"/>
  <c r="E65" i="29" s="1"/>
  <c r="F93" i="29"/>
  <c r="F96" i="29" s="1"/>
  <c r="F97" i="29" s="1"/>
  <c r="E78" i="29"/>
  <c r="D53" i="21"/>
  <c r="E46" i="23"/>
  <c r="G46" i="23" l="1"/>
  <c r="C47" i="23" s="1"/>
  <c r="F13" i="29"/>
  <c r="E36" i="69"/>
  <c r="D41" i="69"/>
  <c r="D43" i="69" s="1"/>
  <c r="D46" i="69"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10" i="29"/>
  <c r="F111" i="29" s="1"/>
  <c r="F25" i="68"/>
  <c r="G57" i="23"/>
  <c r="E28" i="69" l="1"/>
  <c r="E31" i="69" s="1"/>
  <c r="C58" i="23"/>
  <c r="F113" i="29"/>
  <c r="F115" i="29" s="1"/>
  <c r="E93" i="22"/>
  <c r="E96" i="22" s="1"/>
  <c r="E97" i="22" s="1"/>
  <c r="E50" i="21" s="1"/>
  <c r="F29" i="68" s="1"/>
  <c r="F30" i="68" s="1"/>
  <c r="F31" i="68" s="1"/>
  <c r="F33" i="68" s="1"/>
  <c r="G32" i="68" l="1"/>
  <c r="E8" i="69"/>
  <c r="E11" i="69" s="1"/>
  <c r="E20" i="69" s="1"/>
  <c r="E51" i="21"/>
  <c r="D58" i="23"/>
  <c r="E58" i="23" l="1"/>
  <c r="E37" i="69"/>
  <c r="E39" i="69" s="1"/>
  <c r="G7" i="29"/>
  <c r="G12" i="29" s="1"/>
  <c r="F78" i="29"/>
  <c r="G93" i="29"/>
  <c r="G96" i="29" s="1"/>
  <c r="G97" i="29" s="1"/>
  <c r="F56" i="29"/>
  <c r="F61" i="29" s="1"/>
  <c r="F65" i="29" s="1"/>
  <c r="E53" i="21"/>
  <c r="G13" i="29" l="1"/>
  <c r="G58" i="23"/>
  <c r="C59" i="23" s="1"/>
  <c r="F36" i="69"/>
  <c r="E41" i="69"/>
  <c r="E43" i="69" s="1"/>
  <c r="E46" i="69"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110" i="29"/>
  <c r="G111" i="29" s="1"/>
  <c r="G25" i="68"/>
  <c r="G69" i="23"/>
  <c r="C70" i="23" l="1"/>
  <c r="F28" i="69"/>
  <c r="F31" i="69" s="1"/>
  <c r="G113" i="29"/>
  <c r="G115" i="29" s="1"/>
  <c r="F93" i="22"/>
  <c r="F96" i="22" s="1"/>
  <c r="F97" i="22" s="1"/>
  <c r="F50" i="21" s="1"/>
  <c r="G29" i="68" s="1"/>
  <c r="G30" i="68" s="1"/>
  <c r="G31" i="68" s="1"/>
  <c r="G33" i="68" s="1"/>
  <c r="F8" i="69" l="1"/>
  <c r="F11" i="69" s="1"/>
  <c r="F20" i="69" s="1"/>
  <c r="H32" i="68"/>
  <c r="F51" i="21"/>
  <c r="D70" i="23"/>
  <c r="F37" i="69" l="1"/>
  <c r="F39" i="69" s="1"/>
  <c r="H93" i="29"/>
  <c r="H96" i="29" s="1"/>
  <c r="G56" i="29"/>
  <c r="G61" i="29" s="1"/>
  <c r="G65" i="29" s="1"/>
  <c r="G78" i="29"/>
  <c r="H7" i="29"/>
  <c r="H12" i="29" s="1"/>
  <c r="F53" i="21"/>
  <c r="E70" i="23"/>
  <c r="G70" i="23" l="1"/>
  <c r="C71" i="23" s="1"/>
  <c r="H97" i="29"/>
  <c r="D99" i="29"/>
  <c r="D32" i="62" s="1"/>
  <c r="H13" i="29"/>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47" i="21" l="1"/>
  <c r="G49" i="21" s="1"/>
  <c r="H110" i="29"/>
  <c r="H111" i="29" s="1"/>
  <c r="H25" i="68"/>
  <c r="G81" i="23"/>
  <c r="C82" i="23" l="1"/>
  <c r="G28" i="69"/>
  <c r="G31" i="69" s="1"/>
  <c r="H113" i="29"/>
  <c r="H115" i="29" s="1"/>
  <c r="G93" i="22"/>
  <c r="G96" i="22" s="1"/>
  <c r="G97" i="22" s="1"/>
  <c r="G50" i="21" s="1"/>
  <c r="H29" i="68" s="1"/>
  <c r="H30" i="68" s="1"/>
  <c r="H31" i="68" s="1"/>
  <c r="H33" i="68" s="1"/>
  <c r="I32" i="68" l="1"/>
  <c r="G8" i="69"/>
  <c r="G11" i="69" s="1"/>
  <c r="G20" i="69" s="1"/>
  <c r="G51" i="21"/>
  <c r="D82" i="23"/>
  <c r="G37" i="69" l="1"/>
  <c r="G39" i="69" s="1"/>
  <c r="I93" i="29"/>
  <c r="I96" i="29" s="1"/>
  <c r="H56" i="29"/>
  <c r="H61" i="29" s="1"/>
  <c r="H65" i="29" s="1"/>
  <c r="I7" i="29"/>
  <c r="I12" i="29" s="1"/>
  <c r="H78" i="29"/>
  <c r="G53" i="21"/>
  <c r="E82" i="23"/>
  <c r="G82" i="23" l="1"/>
  <c r="C83" i="23" s="1"/>
  <c r="I13" i="29"/>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l="1"/>
  <c r="H49" i="21" s="1"/>
  <c r="I110" i="29"/>
  <c r="I111" i="29" s="1"/>
  <c r="E94" i="23"/>
  <c r="I25" i="68"/>
  <c r="G93" i="23"/>
  <c r="I113" i="29" l="1"/>
  <c r="I115" i="29" s="1"/>
  <c r="C117" i="29" s="1"/>
  <c r="D33" i="62" s="1"/>
  <c r="H93" i="22"/>
  <c r="H96" i="22" s="1"/>
  <c r="H97" i="22" s="1"/>
  <c r="H50" i="21" s="1"/>
  <c r="I29" i="68" s="1"/>
  <c r="I30" i="68" s="1"/>
  <c r="I31" i="68" s="1"/>
  <c r="I33" i="68" s="1"/>
  <c r="H8" i="69" s="1"/>
  <c r="H11" i="69" s="1"/>
  <c r="H20" i="69" s="1"/>
  <c r="H51" i="21" l="1"/>
  <c r="H37" i="69" l="1"/>
  <c r="H39" i="69" s="1"/>
  <c r="H41" i="69" s="1"/>
  <c r="H43" i="69" s="1"/>
  <c r="H46" i="69" s="1"/>
  <c r="J7" i="29"/>
  <c r="J12" i="29" s="1"/>
  <c r="I78" i="29"/>
  <c r="C80" i="29" s="1"/>
  <c r="C83" i="29" s="1"/>
  <c r="D29" i="62" s="1"/>
  <c r="J93" i="29"/>
  <c r="J96" i="29" s="1"/>
  <c r="I56" i="29"/>
  <c r="I61" i="29" s="1"/>
  <c r="I65" i="29" s="1"/>
  <c r="C67" i="29" s="1"/>
  <c r="C71" i="29" s="1"/>
  <c r="D31" i="62" s="1"/>
  <c r="H53" i="21"/>
  <c r="J13" i="29" l="1"/>
  <c r="C14" i="29" s="1"/>
  <c r="D16" i="29" l="1"/>
  <c r="D30" i="62"/>
  <c r="E16" i="29" l="1"/>
  <c r="D17" i="29"/>
  <c r="F16" i="29" l="1"/>
  <c r="E17" i="29"/>
  <c r="G16" i="29" l="1"/>
  <c r="F17" i="29"/>
  <c r="H16" i="29" l="1"/>
  <c r="G17" i="29"/>
  <c r="I16" i="29" l="1"/>
  <c r="H17" i="29"/>
  <c r="J16" i="29" l="1"/>
  <c r="J17" i="29" s="1"/>
  <c r="I17" i="29"/>
  <c r="D18" i="29" l="1"/>
  <c r="F21" i="29" s="1"/>
</calcChain>
</file>

<file path=xl/sharedStrings.xml><?xml version="1.0" encoding="utf-8"?>
<sst xmlns="http://schemas.openxmlformats.org/spreadsheetml/2006/main" count="1476" uniqueCount="740">
  <si>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</si>
  <si>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</si>
  <si>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</si>
  <si>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</si>
  <si>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</si>
  <si>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</si>
  <si>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</si>
  <si>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</si>
  <si>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</si>
  <si>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</si>
  <si>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</si>
  <si>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</si>
  <si>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</si>
  <si>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</si>
  <si>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</si>
  <si>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</si>
  <si>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</si>
  <si>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</si>
  <si>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</si>
  <si>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</si>
  <si>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</si>
  <si>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</si>
  <si>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</si>
  <si>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</si>
  <si>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</si>
  <si>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</si>
  <si>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</si>
  <si>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</si>
  <si>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</si>
  <si>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</si>
  <si>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</si>
  <si>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</si>
  <si>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</si>
  <si>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</si>
  <si>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</si>
  <si>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</si>
  <si>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</si>
  <si>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</si>
  <si>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</si>
  <si>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</si>
  <si>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</si>
  <si>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</si>
  <si>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</si>
  <si>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</si>
  <si>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</si>
  <si>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</si>
  <si>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</si>
  <si>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</si>
  <si>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</si>
  <si>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</si>
  <si>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</si>
  <si>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</si>
  <si>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</si>
  <si>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</si>
  <si>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</si>
  <si>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</si>
  <si>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</si>
  <si>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</si>
  <si>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</si>
  <si>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</si>
  <si>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</si>
  <si>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</si>
  <si>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</si>
  <si>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</si>
  <si>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</si>
  <si>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</si>
  <si>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</si>
  <si>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</si>
  <si>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</si>
  <si>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</si>
  <si>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</si>
  <si>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</si>
  <si>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</si>
  <si>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</si>
  <si>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</si>
  <si>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</si>
  <si>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</si>
  <si>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</si>
  <si>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</si>
  <si>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</si>
  <si>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</si>
  <si>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</si>
  <si>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</si>
  <si>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</si>
  <si>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</si>
  <si>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</si>
  <si>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</si>
  <si>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</si>
  <si>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</si>
  <si>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</si>
  <si>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</si>
  <si>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</si>
  <si>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</si>
  <si>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</si>
  <si>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</si>
  <si>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</si>
  <si>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</si>
  <si>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</si>
  <si>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</si>
  <si>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</si>
  <si>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</si>
  <si>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</si>
  <si>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</si>
  <si>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</si>
  <si>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</si>
  <si>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</si>
  <si>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</si>
  <si>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</si>
  <si>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</si>
  <si>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</si>
  <si>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</si>
  <si>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</si>
  <si>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</si>
  <si>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</si>
  <si>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</si>
  <si>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</si>
  <si>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</si>
  <si>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</si>
  <si>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</si>
  <si>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</si>
  <si>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</si>
  <si>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</si>
  <si>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</si>
  <si>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</si>
  <si>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</si>
  <si>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</si>
  <si>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</si>
  <si>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</si>
  <si>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</si>
  <si>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</si>
  <si>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</si>
  <si>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</si>
  <si>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</si>
  <si>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</si>
  <si>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</si>
  <si>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</si>
  <si>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</si>
  <si>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</si>
  <si>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</si>
  <si>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</si>
  <si>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</si>
  <si>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</si>
  <si>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</si>
  <si>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</si>
  <si>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</si>
  <si>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</si>
  <si>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</si>
  <si>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</si>
  <si>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</si>
  <si>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</si>
  <si>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</si>
  <si>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</si>
  <si>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</si>
  <si>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</si>
  <si>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</si>
  <si>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</si>
  <si>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</si>
  <si>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</si>
  <si>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</si>
  <si>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</si>
  <si>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</si>
  <si>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</si>
  <si>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</si>
  <si>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</si>
  <si>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</si>
  <si>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</si>
  <si>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</si>
  <si>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</si>
  <si>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</si>
  <si>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</si>
  <si>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</si>
  <si>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</si>
  <si>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</si>
  <si>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</si>
  <si>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</si>
  <si>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</si>
  <si>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</si>
  <si>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</si>
  <si>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</si>
  <si>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</si>
  <si>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</si>
  <si>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</si>
  <si>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</si>
  <si>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</si>
  <si>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</si>
  <si>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</si>
  <si>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</si>
  <si>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</si>
  <si>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</si>
  <si>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</si>
  <si>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</si>
  <si>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</si>
  <si>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</si>
  <si>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</si>
  <si>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</si>
  <si>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</si>
  <si>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</si>
  <si>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</si>
  <si>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</si>
  <si>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</si>
  <si>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</si>
  <si>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</si>
  <si>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</si>
  <si>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</si>
  <si>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</si>
  <si>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</si>
  <si>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</si>
  <si>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</si>
  <si>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</si>
  <si>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</si>
  <si>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</si>
  <si>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</si>
  <si>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</si>
  <si>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</si>
  <si>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</si>
  <si>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</si>
  <si>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</si>
  <si>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</si>
  <si>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</si>
  <si>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</si>
  <si>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</si>
  <si>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</si>
  <si>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</si>
  <si>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</si>
  <si>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</si>
  <si>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</si>
  <si>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</si>
  <si>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</si>
  <si>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</si>
  <si>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</si>
  <si>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</si>
  <si>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</si>
  <si>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</si>
  <si>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</si>
  <si>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</si>
  <si>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</si>
  <si>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</si>
  <si>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</si>
  <si>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</si>
  <si>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</si>
  <si>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</si>
  <si>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</si>
  <si>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</si>
  <si>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</si>
  <si>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</si>
  <si>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</si>
  <si>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</si>
  <si>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</si>
  <si>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</si>
  <si>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</si>
  <si>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</si>
  <si>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</si>
  <si>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</si>
  <si>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</si>
  <si>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</si>
  <si>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</si>
  <si>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</si>
  <si>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</si>
  <si>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</si>
  <si>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</si>
  <si>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</si>
  <si>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</si>
  <si>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</si>
  <si>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</si>
  <si>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</si>
  <si>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</si>
  <si>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</si>
  <si>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</si>
  <si>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</si>
  <si>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</si>
  <si>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</si>
  <si>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</si>
  <si>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</si>
  <si>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</si>
  <si>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</si>
  <si>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</si>
  <si>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</si>
  <si>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</si>
  <si>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</si>
  <si>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</si>
  <si>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</si>
  <si>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</si>
  <si>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</si>
  <si>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</si>
  <si>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</si>
  <si>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</si>
  <si>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</si>
  <si>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</si>
  <si>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</si>
  <si>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</si>
  <si>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</si>
  <si>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</si>
  <si>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</si>
  <si>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</si>
  <si>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</si>
  <si>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</si>
  <si>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</si>
  <si>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</si>
  <si>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</si>
  <si>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</si>
  <si>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</si>
  <si>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</si>
  <si>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</si>
  <si>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</si>
  <si>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</si>
  <si>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</si>
  <si>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</si>
  <si>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</si>
  <si>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</si>
  <si>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</si>
  <si>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</si>
  <si>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</si>
  <si>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</si>
  <si>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</si>
  <si>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</si>
  <si>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</si>
  <si>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</si>
  <si>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</si>
  <si>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</si>
  <si>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</si>
  <si>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</si>
  <si>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</si>
  <si>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</si>
  <si>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</si>
  <si>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</si>
  <si>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</si>
  <si>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</si>
  <si>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</si>
  <si>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</si>
  <si>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</si>
  <si>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</si>
  <si>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</si>
  <si>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</si>
  <si>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</si>
  <si>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</si>
  <si>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</si>
  <si>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</si>
  <si>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</si>
  <si>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</si>
  <si>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</si>
  <si>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</si>
  <si>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</si>
  <si>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</si>
  <si>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</si>
  <si>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</si>
  <si>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</si>
  <si>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</si>
  <si>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</si>
  <si>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</si>
  <si>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</si>
  <si>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</si>
  <si>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</si>
  <si>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</si>
  <si>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</si>
  <si>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</si>
  <si>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</si>
  <si>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</si>
  <si>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</si>
  <si>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</si>
  <si>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</si>
  <si>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</si>
  <si>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</si>
  <si>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</si>
  <si>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</si>
  <si>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</si>
  <si>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</si>
  <si>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</si>
  <si>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</si>
  <si>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</si>
  <si>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</si>
  <si>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</si>
  <si>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</si>
  <si>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</si>
  <si>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</si>
  <si>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</si>
  <si>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</si>
  <si>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</si>
  <si>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</si>
  <si>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</si>
  <si>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</si>
  <si>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</si>
  <si>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</si>
  <si>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</si>
  <si>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</si>
  <si>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</si>
  <si>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</si>
  <si>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</si>
  <si>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</si>
  <si>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</si>
  <si>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</si>
  <si>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</si>
  <si>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</si>
  <si>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</si>
  <si>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</si>
  <si>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</si>
  <si>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</si>
  <si>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</si>
  <si>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</si>
  <si>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</si>
  <si>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</si>
  <si>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</si>
  <si>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</si>
  <si>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</si>
  <si>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</si>
  <si>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</si>
  <si>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</si>
  <si>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</si>
  <si>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</si>
  <si>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</si>
  <si>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</si>
  <si>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</si>
  <si>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</si>
  <si>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</si>
  <si>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</si>
  <si>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</si>
  <si>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</si>
  <si>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</si>
  <si>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</si>
  <si>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</si>
  <si>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</si>
  <si>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</si>
  <si>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</si>
  <si>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</si>
  <si>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</si>
  <si>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</si>
  <si>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</si>
  <si>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</si>
  <si>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</si>
  <si>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</si>
  <si>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</si>
  <si>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</si>
  <si>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</si>
  <si>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</si>
  <si>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</si>
  <si>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</si>
  <si>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</si>
  <si>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</si>
  <si>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</si>
  <si>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</si>
  <si>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</si>
  <si>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</si>
  <si>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</si>
  <si>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</si>
  <si>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</si>
  <si>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</si>
  <si>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</si>
  <si>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</si>
  <si>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</si>
  <si>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</si>
  <si>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</si>
  <si>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</si>
  <si>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</si>
  <si>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</si>
  <si>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</si>
  <si>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</si>
  <si>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</si>
  <si>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</si>
  <si>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</si>
  <si>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</si>
  <si>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</si>
  <si>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</si>
  <si>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</si>
  <si>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</si>
  <si>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</si>
  <si>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</si>
  <si>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</si>
  <si>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</si>
  <si>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</si>
  <si>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</si>
  <si>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</si>
  <si>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</si>
  <si>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</si>
  <si>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</si>
  <si>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</si>
  <si>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</si>
  <si>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</si>
  <si>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</si>
  <si>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</si>
  <si>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</si>
  <si>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</si>
  <si>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</si>
  <si>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</si>
  <si>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</si>
  <si>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</si>
  <si>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</si>
  <si>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</si>
  <si>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</si>
  <si>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</si>
  <si>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</si>
  <si>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</si>
  <si>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</si>
  <si>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</si>
  <si>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</si>
  <si>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</si>
  <si>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</si>
  <si>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</si>
  <si>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</si>
  <si>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</si>
  <si>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</si>
  <si>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</si>
  <si>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</si>
  <si>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</si>
  <si>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</si>
  <si>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</si>
  <si>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</si>
  <si>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</si>
  <si>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</si>
  <si>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</si>
  <si>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</si>
  <si>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</si>
  <si>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</si>
  <si>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</si>
  <si>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</si>
  <si>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</si>
  <si>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</si>
  <si>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</si>
  <si>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</si>
  <si>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</si>
  <si>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</si>
  <si>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</si>
  <si>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</si>
  <si>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</si>
  <si>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</si>
  <si>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</si>
  <si>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</si>
  <si>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</si>
  <si>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</si>
  <si>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</si>
  <si>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</si>
  <si>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</si>
  <si>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</si>
  <si>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</si>
  <si>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</si>
  <si>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</si>
  <si>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</si>
  <si>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</si>
  <si>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</si>
  <si>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</si>
  <si>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</si>
  <si>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</si>
  <si>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</si>
  <si>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</si>
  <si>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</si>
  <si>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</si>
  <si>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</si>
  <si>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</si>
  <si>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</si>
  <si>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</si>
  <si>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</si>
  <si>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</si>
  <si>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</si>
  <si>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</si>
  <si>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</si>
  <si>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</si>
  <si>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</si>
  <si>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</si>
  <si>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</si>
  <si>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</si>
  <si>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</si>
  <si>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</si>
  <si>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</si>
  <si>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</si>
  <si>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</si>
  <si>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</si>
  <si>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</si>
  <si>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</si>
  <si>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</si>
  <si>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</si>
  <si>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</si>
  <si>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</si>
  <si>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</si>
  <si>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</si>
  <si>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</si>
  <si>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</si>
  <si>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</si>
  <si>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</si>
  <si>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</si>
  <si>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</si>
  <si>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</si>
  <si>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</si>
  <si>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</si>
  <si>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</si>
  <si>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</si>
  <si>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</si>
  <si>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</si>
  <si>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</si>
  <si>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</si>
  <si>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</si>
  <si>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</si>
  <si>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</si>
  <si>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</si>
  <si>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</si>
  <si>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</si>
  <si>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</si>
  <si>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</si>
  <si>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</si>
  <si>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</si>
  <si>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</si>
  <si>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</si>
  <si>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</si>
  <si>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</si>
  <si>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</si>
  <si>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</si>
  <si>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</si>
  <si>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</si>
  <si>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</si>
  <si>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</si>
  <si>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</si>
  <si>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</si>
  <si>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</si>
  <si>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</si>
  <si>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</si>
  <si>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</si>
  <si>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</si>
  <si>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</si>
  <si>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</si>
  <si>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</si>
  <si>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</si>
  <si>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</si>
  <si>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</si>
  <si>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</si>
  <si>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</si>
  <si>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</si>
  <si>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</si>
  <si>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</si>
  <si>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</si>
  <si>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</si>
  <si>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</si>
  <si>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</si>
  <si>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</si>
  <si>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</si>
  <si>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</si>
  <si>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</si>
  <si>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</si>
  <si>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</si>
  <si>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</si>
  <si>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</si>
  <si>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</si>
  <si>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</si>
  <si>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</si>
  <si>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</si>
  <si>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</si>
  <si>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</si>
  <si>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</si>
  <si>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</si>
  <si>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</si>
  <si>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</si>
  <si>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</si>
  <si>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</si>
  <si>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</si>
  <si>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</si>
  <si>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</si>
  <si>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</si>
  <si>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</si>
  <si>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</si>
  <si>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</si>
  <si>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</si>
  <si>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</si>
  <si>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</si>
  <si>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</si>
  <si>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</si>
  <si>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</si>
  <si>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</si>
  <si>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</si>
  <si>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</si>
  <si>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</si>
  <si>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</si>
  <si>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</si>
  <si>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</si>
  <si>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</si>
  <si>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</si>
  <si>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</si>
  <si>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</si>
  <si>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</si>
  <si>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</si>
  <si>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</si>
  <si>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</si>
  <si>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</si>
  <si>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</si>
  <si>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</si>
  <si>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</si>
  <si>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</si>
  <si>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</si>
  <si>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</si>
  <si>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</si>
  <si>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</si>
  <si>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</si>
  <si>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</si>
  <si>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</si>
  <si>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</si>
  <si>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</si>
  <si>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</si>
  <si>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</si>
  <si>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</si>
  <si>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</si>
  <si>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</si>
  <si>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</si>
  <si>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</si>
  <si>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</si>
  <si>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</si>
  <si>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</si>
  <si>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</si>
  <si>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</si>
  <si>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</si>
  <si>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</si>
  <si>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</si>
  <si>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</si>
  <si>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</si>
  <si>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</si>
  <si>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</si>
  <si>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</si>
  <si>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Construction of Warehouse</t>
  </si>
  <si>
    <t>Manager, Supervision &amp; Travelling Expenses</t>
  </si>
  <si>
    <t>Professional Fees</t>
  </si>
  <si>
    <t xml:space="preserve">Land Development </t>
  </si>
  <si>
    <t>Land Registry Charges</t>
  </si>
  <si>
    <t>Legal and Advisory Fees</t>
  </si>
  <si>
    <t>Repairs &amp; Maintenance</t>
  </si>
  <si>
    <t>Conveyance Expenses</t>
  </si>
  <si>
    <t>Packing Materials</t>
  </si>
  <si>
    <t>Construction of Labour Quarters</t>
  </si>
  <si>
    <t>Construction of Weighbridge Room</t>
  </si>
  <si>
    <t>Construction of  Cleaning Grinding Machine</t>
  </si>
  <si>
    <t xml:space="preserve">Weighbridge </t>
  </si>
  <si>
    <t>Cleaning &amp; Grading Machine</t>
  </si>
  <si>
    <t>Harvestor</t>
  </si>
  <si>
    <t>Tractor</t>
  </si>
  <si>
    <t>Sowing Machine 7 fan</t>
  </si>
  <si>
    <t>Plow</t>
  </si>
  <si>
    <t>Threshing Machine</t>
  </si>
  <si>
    <t>Rotavator Machine</t>
  </si>
  <si>
    <t>Mogda Pali</t>
  </si>
  <si>
    <t>Sari Yantra</t>
  </si>
  <si>
    <t>Trolley one brass</t>
  </si>
  <si>
    <t>Kadaba Kutti Machine</t>
  </si>
  <si>
    <t>Salary &amp; Wages</t>
  </si>
  <si>
    <t>Misc. Expenses</t>
  </si>
  <si>
    <t>Director Remuneration</t>
  </si>
  <si>
    <t>FIXED ASSET COVERAGE RATIO</t>
  </si>
  <si>
    <t>DEBT EQUITY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</si>
</sst>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8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theme="1"/>
      <name val="Trebuchet MS"/>
      <family val="2"/>
    </font>
    <font>
      <b/>
      <sz val="14"/>
      <name val="Calibri"/>
      <family val="2"/>
      <scheme val="minor"/>
    </font>
    <font>
      <sz val="14"/>
      <color theme="1"/>
      <name val="Times New Roman"/>
      <family val="1"/>
    </font>
    <font>
      <sz val="16"/>
      <color theme="1"/>
      <name val="Times New Roman"/>
      <family val="1"/>
    </font>
    <font>
      <b/>
      <sz val="16"/>
      <color theme="0"/>
      <name val="Times New Roman"/>
      <family val="1"/>
    </font>
    <font>
      <b/>
      <i/>
      <sz val="16"/>
      <color indexed="8"/>
      <name val="Times New Roman"/>
      <family val="1"/>
    </font>
    <font>
      <sz val="16"/>
      <name val="Times New Roman"/>
      <family val="1"/>
    </font>
    <font>
      <b/>
      <sz val="16"/>
      <name val="Times New Roman"/>
      <family val="1"/>
    </font>
    <font>
      <sz val="18"/>
      <color theme="1"/>
      <name val="Times New Roman"/>
      <family val="1"/>
    </font>
    <font>
      <b/>
      <sz val="18"/>
      <color theme="1"/>
      <name val="Times New Roman"/>
      <family val="1"/>
    </font>
    <font>
      <b/>
      <sz val="18"/>
      <color theme="0"/>
      <name val="Times New Roman"/>
      <family val="1"/>
    </font>
    <font>
      <b/>
      <sz val="18"/>
      <color indexed="8"/>
      <name val="Times New Roman"/>
      <family val="1"/>
    </font>
    <font>
      <b/>
      <u/>
      <sz val="18"/>
      <color indexed="8"/>
      <name val="Times New Roman"/>
      <family val="1"/>
    </font>
    <font>
      <b/>
      <i/>
      <sz val="18"/>
      <color indexed="8"/>
      <name val="Times New Roman"/>
      <family val="1"/>
    </font>
    <font>
      <sz val="18"/>
      <name val="Times New Roman"/>
      <family val="1"/>
    </font>
    <font>
      <b/>
      <sz val="18"/>
      <name val="Times New Roman"/>
      <family val="1"/>
    </font>
    <font>
      <b/>
      <sz val="16"/>
      <name val="Calibri"/>
      <family val="2"/>
      <scheme val="minor"/>
    </font>
    <font>
      <sz val="16"/>
      <color theme="1"/>
      <name val="Calibri"/>
      <family val="2"/>
      <scheme val="minor"/>
    </font>
    <font>
      <sz val="10"/>
      <name val="Times New Roman"/>
      <family val="1"/>
    </font>
    <font>
      <sz val="10"/>
      <name val="Calibri"/>
      <family val="2"/>
      <scheme val="minor"/>
    </font>
    <font>
      <sz val="11"/>
      <name val="Trebuchet MS"/>
      <family val="2"/>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50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38" fillId="2" borderId="1" xfId="0" applyFont="1" applyFill="1" applyBorder="1" applyAlignment="1">
      <alignment vertical="center" wrapText="1"/>
    </xf>
    <xf numFmtId="0" fontId="38" fillId="2" borderId="1" xfId="0" applyFont="1" applyFill="1" applyBorder="1" applyAlignment="1">
      <alignment horizontal="center" vertical="center" wrapText="1"/>
    </xf>
    <xf numFmtId="0" fontId="39" fillId="0" borderId="1" xfId="0" applyFont="1" applyBorder="1" applyAlignment="1">
      <alignment horizontal="right" vertical="center" wrapText="1"/>
    </xf>
    <xf numFmtId="167" fontId="40"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vertical="center" wrapText="1"/>
    </xf>
    <xf numFmtId="169" fontId="39" fillId="0" borderId="1" xfId="2" applyNumberFormat="1" applyFont="1" applyFill="1" applyBorder="1" applyAlignment="1">
      <alignment horizontal="right" vertical="center" wrapText="1"/>
    </xf>
    <xf numFmtId="0" fontId="39"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38" fillId="2" borderId="8" xfId="0" applyFont="1" applyFill="1" applyBorder="1" applyAlignment="1">
      <alignment vertical="center" wrapText="1"/>
    </xf>
    <xf numFmtId="0" fontId="38" fillId="2" borderId="4" xfId="0" applyFont="1" applyFill="1" applyBorder="1" applyAlignment="1">
      <alignment horizontal="center" vertical="center" wrapText="1"/>
    </xf>
    <xf numFmtId="167" fontId="40"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39" fillId="6" borderId="1" xfId="3" applyNumberFormat="1" applyFont="1" applyFill="1" applyBorder="1" applyAlignment="1">
      <alignment horizontal="right" vertical="center" wrapText="1"/>
    </xf>
    <xf numFmtId="0" fontId="40" fillId="6" borderId="1" xfId="0" applyFont="1" applyFill="1" applyBorder="1" applyAlignment="1">
      <alignment vertical="center" wrapText="1"/>
    </xf>
    <xf numFmtId="0" fontId="40" fillId="6" borderId="1" xfId="0" applyFont="1" applyFill="1" applyBorder="1" applyAlignment="1">
      <alignment horizontal="center" vertical="center" wrapText="1"/>
    </xf>
    <xf numFmtId="169" fontId="40" fillId="6" borderId="1" xfId="2" applyNumberFormat="1" applyFont="1" applyFill="1" applyBorder="1" applyAlignment="1">
      <alignment horizontal="right" vertical="center" wrapText="1"/>
    </xf>
    <xf numFmtId="0" fontId="28" fillId="6" borderId="1" xfId="0" applyFont="1" applyFill="1" applyBorder="1"/>
    <xf numFmtId="167" fontId="40" fillId="6" borderId="1" xfId="3" applyNumberFormat="1" applyFont="1" applyFill="1" applyBorder="1" applyAlignment="1">
      <alignment horizontal="right" vertical="center" wrapText="1"/>
    </xf>
    <xf numFmtId="0" fontId="39" fillId="6" borderId="1" xfId="0" applyFont="1" applyFill="1" applyBorder="1" applyAlignment="1">
      <alignment horizontal="center" vertical="center" wrapText="1"/>
    </xf>
    <xf numFmtId="0" fontId="39"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39" fillId="6" borderId="1" xfId="3" applyNumberFormat="1" applyFont="1" applyFill="1" applyBorder="1" applyAlignment="1">
      <alignment horizontal="center" vertical="center" wrapText="1"/>
    </xf>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0"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39" fillId="6" borderId="9" xfId="0" applyFont="1" applyFill="1" applyBorder="1" applyAlignment="1">
      <alignment horizontal="right" vertical="center" wrapText="1"/>
    </xf>
    <xf numFmtId="0" fontId="39"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39"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43" fillId="0" borderId="0" xfId="0" applyFont="1"/>
    <xf numFmtId="0" fontId="0" fillId="0" borderId="0" xfId="0" applyAlignment="1">
      <alignment wrapText="1"/>
    </xf>
    <xf numFmtId="0" fontId="52" fillId="5" borderId="1" xfId="0" applyFont="1" applyFill="1" applyBorder="1"/>
    <xf numFmtId="0" fontId="52" fillId="5" borderId="1" xfId="0" applyFont="1" applyFill="1" applyBorder="1" applyAlignment="1">
      <alignment wrapText="1"/>
    </xf>
    <xf numFmtId="0" fontId="0" fillId="0" borderId="1" xfId="0" applyBorder="1" applyAlignment="1">
      <alignment horizontal="center"/>
    </xf>
    <xf numFmtId="0" fontId="52"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2" fillId="5" borderId="1" xfId="0" applyFont="1" applyFill="1" applyBorder="1" applyAlignment="1">
      <alignment horizontal="center"/>
    </xf>
    <xf numFmtId="0" fontId="52"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2" fillId="7" borderId="1" xfId="0" applyNumberFormat="1" applyFont="1" applyFill="1" applyBorder="1"/>
    <xf numFmtId="9" fontId="52"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8"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19"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0" fillId="0" borderId="0" xfId="0" applyFont="1" applyAlignment="1"/>
    <xf numFmtId="0" fontId="30" fillId="5" borderId="1" xfId="0" applyFont="1" applyFill="1" applyBorder="1"/>
    <xf numFmtId="9" fontId="56" fillId="7" borderId="1" xfId="0" applyNumberFormat="1" applyFont="1" applyFill="1" applyBorder="1"/>
    <xf numFmtId="170" fontId="56" fillId="7" borderId="1" xfId="0" applyNumberFormat="1" applyFont="1" applyFill="1" applyBorder="1"/>
    <xf numFmtId="0" fontId="55" fillId="0" borderId="0" xfId="0" applyFont="1" applyAlignment="1"/>
    <xf numFmtId="171" fontId="28" fillId="6" borderId="1" xfId="0" applyNumberFormat="1" applyFont="1" applyFill="1" applyBorder="1"/>
    <xf numFmtId="0" fontId="41" fillId="2" borderId="1" xfId="0" applyFont="1" applyFill="1" applyBorder="1" applyAlignment="1">
      <alignment vertical="center" wrapText="1"/>
    </xf>
    <xf numFmtId="0" fontId="41" fillId="2" borderId="1" xfId="0" applyFont="1" applyFill="1" applyBorder="1" applyAlignment="1">
      <alignment horizontal="center" vertical="center" wrapText="1"/>
    </xf>
    <xf numFmtId="0" fontId="42" fillId="0" borderId="1" xfId="0" applyFont="1" applyBorder="1" applyAlignment="1">
      <alignment horizontal="right" vertical="center" wrapText="1"/>
    </xf>
    <xf numFmtId="0" fontId="42" fillId="0" borderId="1" xfId="0" applyFont="1" applyBorder="1" applyAlignment="1">
      <alignment vertical="center" wrapText="1"/>
    </xf>
    <xf numFmtId="167" fontId="42" fillId="0" borderId="1" xfId="3" applyNumberFormat="1" applyFont="1" applyFill="1" applyBorder="1" applyAlignment="1">
      <alignment horizontal="right" vertical="center" wrapText="1"/>
    </xf>
    <xf numFmtId="167" fontId="57" fillId="0" borderId="1" xfId="3" applyNumberFormat="1" applyFont="1" applyBorder="1" applyAlignment="1">
      <alignment horizontal="right" vertical="center" wrapText="1"/>
    </xf>
    <xf numFmtId="0" fontId="41" fillId="2" borderId="21" xfId="0" applyFont="1" applyFill="1" applyBorder="1" applyAlignment="1">
      <alignment horizontal="center" vertical="center" wrapText="1"/>
    </xf>
    <xf numFmtId="0" fontId="58" fillId="0" borderId="1" xfId="0" applyFont="1" applyBorder="1"/>
    <xf numFmtId="169" fontId="57" fillId="0" borderId="1" xfId="2" applyNumberFormat="1" applyFont="1" applyBorder="1" applyAlignment="1">
      <alignment horizontal="center" vertical="center" wrapText="1"/>
    </xf>
    <xf numFmtId="0" fontId="41" fillId="5" borderId="1" xfId="0" applyFont="1" applyFill="1" applyBorder="1" applyAlignment="1">
      <alignment vertical="center" wrapText="1"/>
    </xf>
    <xf numFmtId="0" fontId="41" fillId="5" borderId="1" xfId="0" applyFont="1" applyFill="1" applyBorder="1" applyAlignment="1">
      <alignment vertical="center"/>
    </xf>
    <xf numFmtId="0" fontId="41" fillId="5" borderId="1" xfId="0" applyFont="1" applyFill="1" applyBorder="1" applyAlignment="1">
      <alignment horizontal="center" vertical="center"/>
    </xf>
    <xf numFmtId="0" fontId="41" fillId="5" borderId="1" xfId="0" applyFont="1" applyFill="1" applyBorder="1" applyAlignment="1">
      <alignment horizontal="center" vertical="center" wrapText="1"/>
    </xf>
    <xf numFmtId="0" fontId="42" fillId="0" borderId="1" xfId="0" applyFont="1" applyBorder="1" applyAlignment="1">
      <alignment horizontal="center" vertical="center" wrapText="1"/>
    </xf>
    <xf numFmtId="10" fontId="42" fillId="0" borderId="1" xfId="0" applyNumberFormat="1" applyFont="1" applyBorder="1" applyAlignment="1">
      <alignment horizontal="center" vertical="center" wrapText="1"/>
    </xf>
    <xf numFmtId="10" fontId="42" fillId="0" borderId="1" xfId="1"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2" fontId="42"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2"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0" fillId="5" borderId="11" xfId="0" applyFont="1" applyFill="1" applyBorder="1" applyAlignment="1">
      <alignment horizontal="center"/>
    </xf>
    <xf numFmtId="0" fontId="0" fillId="0" borderId="1" xfId="0" applyNumberFormat="1" applyFill="1" applyBorder="1"/>
    <xf numFmtId="0" fontId="0" fillId="0" borderId="0" xfId="0" applyFill="1" applyAlignment="1">
      <alignment vertical="center" wrapText="1"/>
    </xf>
    <xf numFmtId="0" fontId="2" fillId="11" borderId="1" xfId="0" applyFont="1" applyFill="1" applyBorder="1" applyAlignment="1">
      <alignment vertical="center" wrapText="1"/>
    </xf>
    <xf numFmtId="0" fontId="64"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2" fillId="0" borderId="1" xfId="3" applyNumberFormat="1" applyFont="1" applyFill="1" applyBorder="1" applyAlignment="1">
      <alignment horizontal="right" vertical="center" wrapText="1"/>
    </xf>
    <xf numFmtId="0" fontId="26" fillId="0" borderId="0" xfId="0" applyFont="1" applyAlignment="1">
      <alignment horizontal="center"/>
    </xf>
    <xf numFmtId="0" fontId="40" fillId="0" borderId="16" xfId="0" applyFont="1" applyFill="1" applyBorder="1" applyAlignment="1">
      <alignment horizontal="center" vertical="center" wrapText="1"/>
    </xf>
    <xf numFmtId="0" fontId="66" fillId="6" borderId="22" xfId="0" applyFont="1" applyFill="1" applyBorder="1"/>
    <xf numFmtId="0" fontId="66" fillId="6" borderId="18" xfId="0" applyFont="1" applyFill="1" applyBorder="1"/>
    <xf numFmtId="0" fontId="66" fillId="6" borderId="5" xfId="0" applyFont="1" applyFill="1" applyBorder="1"/>
    <xf numFmtId="0" fontId="67" fillId="0" borderId="0" xfId="6" applyFont="1" applyFill="1" applyBorder="1" applyAlignment="1">
      <alignment horizontal="center"/>
    </xf>
    <xf numFmtId="0" fontId="68" fillId="0" borderId="0" xfId="0" applyFont="1"/>
    <xf numFmtId="0" fontId="25" fillId="0" borderId="1" xfId="0" applyFont="1" applyFill="1" applyBorder="1" applyAlignment="1">
      <alignment horizontal="center"/>
    </xf>
    <xf numFmtId="0" fontId="68" fillId="0" borderId="1" xfId="0" applyFont="1" applyFill="1" applyBorder="1"/>
    <xf numFmtId="0" fontId="37" fillId="0" borderId="0" xfId="6" applyFont="1" applyFill="1" applyBorder="1" applyAlignment="1"/>
    <xf numFmtId="0" fontId="26" fillId="0" borderId="0" xfId="0" applyFont="1" applyBorder="1" applyAlignment="1"/>
    <xf numFmtId="0" fontId="70" fillId="2" borderId="1" xfId="0" applyFont="1" applyFill="1" applyBorder="1" applyAlignment="1">
      <alignment horizontal="center" wrapText="1"/>
    </xf>
    <xf numFmtId="0" fontId="69" fillId="0" borderId="1" xfId="0" applyFont="1" applyFill="1" applyBorder="1"/>
    <xf numFmtId="0" fontId="71" fillId="0" borderId="1" xfId="0" applyFont="1" applyFill="1" applyBorder="1" applyAlignment="1">
      <alignment horizontal="center"/>
    </xf>
    <xf numFmtId="167" fontId="72" fillId="0" borderId="1" xfId="0" applyNumberFormat="1" applyFont="1" applyFill="1" applyBorder="1"/>
    <xf numFmtId="167" fontId="73" fillId="0" borderId="1" xfId="0" applyNumberFormat="1" applyFont="1" applyFill="1" applyBorder="1"/>
    <xf numFmtId="0" fontId="74" fillId="0" borderId="0" xfId="0" applyFont="1"/>
    <xf numFmtId="0" fontId="76" fillId="2" borderId="1" xfId="8" applyFont="1" applyFill="1" applyBorder="1" applyAlignment="1" applyProtection="1"/>
    <xf numFmtId="0" fontId="77" fillId="2" borderId="1" xfId="0" applyFont="1" applyFill="1" applyBorder="1"/>
    <xf numFmtId="0" fontId="76" fillId="2" borderId="1" xfId="0" applyFont="1" applyFill="1" applyBorder="1" applyAlignment="1">
      <alignment horizontal="center" wrapText="1"/>
    </xf>
    <xf numFmtId="0" fontId="78" fillId="0" borderId="1" xfId="0" applyFont="1" applyFill="1" applyBorder="1"/>
    <xf numFmtId="0" fontId="74" fillId="0" borderId="1" xfId="0" applyFont="1" applyFill="1" applyBorder="1"/>
    <xf numFmtId="0" fontId="79" fillId="0" borderId="1" xfId="0" applyFont="1" applyFill="1" applyBorder="1" applyAlignment="1">
      <alignment horizontal="center"/>
    </xf>
    <xf numFmtId="0" fontId="77" fillId="0" borderId="1" xfId="0" applyFont="1" applyFill="1" applyBorder="1" applyAlignment="1">
      <alignment horizontal="left"/>
    </xf>
    <xf numFmtId="0" fontId="74" fillId="0" borderId="1" xfId="0" applyFont="1" applyFill="1" applyBorder="1" applyAlignment="1">
      <alignment horizontal="left"/>
    </xf>
    <xf numFmtId="167" fontId="80" fillId="0" borderId="1" xfId="0" applyNumberFormat="1" applyFont="1" applyFill="1" applyBorder="1"/>
    <xf numFmtId="0" fontId="75" fillId="0" borderId="1" xfId="0" applyFont="1" applyFill="1" applyBorder="1" applyAlignment="1">
      <alignment horizontal="left"/>
    </xf>
    <xf numFmtId="167" fontId="81" fillId="0" borderId="1" xfId="0" applyNumberFormat="1" applyFont="1" applyFill="1" applyBorder="1"/>
    <xf numFmtId="0" fontId="82" fillId="0" borderId="0" xfId="6" applyFont="1" applyFill="1" applyBorder="1" applyAlignment="1">
      <alignment horizontal="center"/>
    </xf>
    <xf numFmtId="0" fontId="83" fillId="0" borderId="0" xfId="0" applyFont="1" applyFill="1"/>
    <xf numFmtId="0" fontId="83" fillId="0" borderId="0" xfId="0" applyFont="1"/>
    <xf numFmtId="0" fontId="40" fillId="0" borderId="1" xfId="0" applyFont="1" applyFill="1" applyBorder="1" applyAlignment="1">
      <alignment horizontal="center" vertical="center" wrapText="1"/>
    </xf>
    <xf numFmtId="9" fontId="40" fillId="0" borderId="1" xfId="0" applyNumberFormat="1" applyFont="1" applyFill="1" applyBorder="1" applyAlignment="1">
      <alignment horizontal="center" vertical="center" wrapText="1"/>
    </xf>
    <xf numFmtId="0" fontId="40" fillId="6" borderId="1" xfId="0" applyFont="1" applyFill="1" applyBorder="1" applyAlignment="1">
      <alignment horizontal="center" vertical="center" wrapText="1"/>
    </xf>
    <xf numFmtId="169" fontId="84" fillId="0" borderId="1" xfId="2" applyNumberFormat="1" applyFont="1" applyBorder="1" applyAlignment="1">
      <alignment vertical="center" wrapText="1"/>
    </xf>
    <xf numFmtId="9" fontId="85" fillId="0" borderId="1" xfId="0" applyNumberFormat="1" applyFont="1" applyFill="1" applyBorder="1"/>
    <xf numFmtId="169" fontId="85" fillId="0" borderId="1" xfId="0" applyNumberFormat="1" applyFont="1" applyBorder="1"/>
    <xf numFmtId="0" fontId="85" fillId="0" borderId="1" xfId="0" applyFont="1" applyBorder="1"/>
    <xf numFmtId="169" fontId="86" fillId="6" borderId="14" xfId="0" applyNumberFormat="1" applyFont="1" applyFill="1" applyBorder="1"/>
    <xf numFmtId="169" fontId="29" fillId="6" borderId="14" xfId="2" applyNumberFormat="1" applyFont="1" applyFill="1" applyBorder="1" applyAlignment="1">
      <alignment vertical="center" wrapText="1"/>
    </xf>
    <xf numFmtId="167" fontId="29" fillId="6" borderId="1" xfId="3" applyNumberFormat="1" applyFont="1" applyFill="1" applyBorder="1" applyAlignment="1">
      <alignment horizontal="right" vertical="center" wrapText="1"/>
    </xf>
    <xf numFmtId="167" fontId="29" fillId="6" borderId="10" xfId="3" applyNumberFormat="1" applyFont="1" applyFill="1" applyBorder="1" applyAlignment="1">
      <alignment horizontal="right" vertical="center" wrapText="1"/>
    </xf>
    <xf numFmtId="167" fontId="30" fillId="6" borderId="10" xfId="3" applyNumberFormat="1" applyFont="1" applyFill="1" applyBorder="1" applyAlignment="1">
      <alignment horizontal="right" vertical="center" wrapText="1"/>
    </xf>
    <xf numFmtId="169" fontId="29" fillId="0" borderId="1" xfId="2" applyNumberFormat="1" applyFont="1" applyFill="1" applyBorder="1"/>
    <xf numFmtId="0" fontId="73" fillId="0" borderId="0" xfId="6" applyFont="1" applyFill="1" applyBorder="1" applyAlignment="1"/>
    <xf numFmtId="0" fontId="9" fillId="0" borderId="0" xfId="0" applyFont="1" applyAlignment="1">
      <alignment horizontal="left" vertical="center" wrapText="1"/>
    </xf>
    <xf numFmtId="0" fontId="65" fillId="0" borderId="13" xfId="0" applyFont="1" applyBorder="1" applyAlignment="1">
      <alignment horizontal="center" vertical="center" wrapText="1"/>
    </xf>
    <xf numFmtId="0" fontId="61" fillId="8" borderId="1" xfId="0" applyFont="1" applyFill="1" applyBorder="1" applyAlignment="1">
      <alignment horizontal="center" vertical="center" wrapText="1"/>
    </xf>
    <xf numFmtId="0" fontId="59"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16" xfId="0" applyBorder="1" applyAlignment="1">
      <alignment horizontal="left" vertical="center" wrapText="1"/>
    </xf>
    <xf numFmtId="0" fontId="59"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41" fillId="5" borderId="12"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26" fillId="0" borderId="0" xfId="0" applyFont="1" applyBorder="1" applyAlignment="1">
      <alignment horizontal="center"/>
    </xf>
    <xf numFmtId="0" fontId="57"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49" fillId="0" borderId="0" xfId="0" applyFont="1" applyAlignment="1">
      <alignment horizont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51" fillId="0" borderId="0" xfId="0" applyFont="1" applyAlignment="1">
      <alignment horizontal="center" wrapText="1"/>
    </xf>
    <xf numFmtId="0" fontId="40" fillId="6"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4" fillId="0" borderId="0" xfId="0" applyFont="1" applyAlignment="1">
      <alignment horizontal="center" vertical="center" wrapText="1"/>
    </xf>
    <xf numFmtId="0" fontId="75" fillId="0" borderId="13" xfId="0" applyFont="1" applyBorder="1" applyAlignment="1">
      <alignment horizontal="center"/>
    </xf>
    <xf numFmtId="0" fontId="9" fillId="0" borderId="13" xfId="0" applyFont="1" applyBorder="1" applyAlignment="1">
      <alignment horizontal="center"/>
    </xf>
    <xf numFmtId="0" fontId="37" fillId="0" borderId="0" xfId="6" applyFont="1" applyFill="1" applyBorder="1" applyAlignment="1">
      <alignment horizontal="center"/>
    </xf>
    <xf numFmtId="0" fontId="73" fillId="0" borderId="0" xfId="6" applyFont="1" applyFill="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38" fillId="2" borderId="1"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44" fillId="0" borderId="0" xfId="0" applyFont="1" applyAlignment="1">
      <alignment horizontal="center" wrapText="1"/>
    </xf>
    <xf numFmtId="0" fontId="15" fillId="0" borderId="0" xfId="6" applyFont="1" applyFill="1" applyBorder="1" applyAlignment="1">
      <alignment horizontal="center"/>
    </xf>
    <xf numFmtId="0" fontId="26" fillId="0" borderId="17" xfId="0" applyFont="1" applyBorder="1" applyAlignment="1">
      <alignment horizontal="center"/>
    </xf>
    <xf numFmtId="0" fontId="46" fillId="0" borderId="0" xfId="0" applyFont="1" applyAlignment="1">
      <alignment horizontal="center" wrapText="1"/>
    </xf>
    <xf numFmtId="0" fontId="45"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5"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1"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4" fillId="0" borderId="0" xfId="8" applyFont="1" applyAlignment="1" applyProtection="1">
      <alignment horizontal="center" wrapText="1"/>
    </xf>
    <xf numFmtId="0" fontId="53" fillId="0" borderId="0" xfId="0" applyFont="1" applyAlignment="1">
      <alignment horizontal="center" wrapText="1"/>
    </xf>
    <xf numFmtId="0" fontId="26" fillId="0" borderId="13" xfId="0" applyFont="1" applyBorder="1" applyAlignment="1">
      <alignment horizontal="center"/>
    </xf>
    <xf numFmtId="0" fontId="56" fillId="5" borderId="19" xfId="0" applyFont="1" applyFill="1" applyBorder="1" applyAlignment="1">
      <alignment horizontal="left" vertical="center"/>
    </xf>
    <xf numFmtId="0" fontId="56" fillId="5" borderId="14" xfId="0" applyFont="1" applyFill="1" applyBorder="1" applyAlignment="1">
      <alignment horizontal="left" vertical="center"/>
    </xf>
    <xf numFmtId="0" fontId="0" fillId="0" borderId="0" xfId="0" applyAlignment="1">
      <alignment horizont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0" xfId="0" applyFont="1" applyBorder="1" applyAlignment="1">
      <alignment horizontal="center"/>
    </xf>
    <xf numFmtId="0" fontId="26" fillId="0" borderId="16" xfId="0" applyFont="1" applyBorder="1" applyAlignment="1">
      <alignment horizontal="center"/>
    </xf>
    <xf numFmtId="0" fontId="52" fillId="5" borderId="19" xfId="0" applyFont="1" applyFill="1" applyBorder="1" applyAlignment="1">
      <alignment vertical="center"/>
    </xf>
    <xf numFmtId="0" fontId="52" fillId="5" borderId="14" xfId="0" applyFont="1" applyFill="1" applyBorder="1" applyAlignment="1">
      <alignment vertical="center"/>
    </xf>
    <xf numFmtId="0" fontId="37" fillId="0" borderId="15" xfId="0" applyFont="1" applyFill="1" applyBorder="1" applyAlignment="1">
      <alignment horizontal="center"/>
    </xf>
    <xf numFmtId="0" fontId="37" fillId="0" borderId="20" xfId="0" applyFont="1" applyFill="1" applyBorder="1" applyAlignment="1">
      <alignment horizontal="center"/>
    </xf>
    <xf numFmtId="0" fontId="37" fillId="0" borderId="16" xfId="0" applyFont="1" applyFill="1" applyBorder="1" applyAlignment="1">
      <alignment horizontal="center"/>
    </xf>
    <xf numFmtId="0" fontId="52" fillId="5" borderId="19" xfId="0" applyFont="1" applyFill="1" applyBorder="1" applyAlignment="1">
      <alignment horizontal="left" vertical="center"/>
    </xf>
    <xf numFmtId="0" fontId="52"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0"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view="pageBreakPreview" zoomScale="60" zoomScaleNormal="100" workbookViewId="0">
      <selection activeCell="A8" sqref="A8:E8"/>
    </sheetView>
  </sheetViews>
  <sheetFormatPr defaultColWidth="9.140625" defaultRowHeight="15"/>
  <cols>
    <col min="1" max="1" width="12.85546875" style="357" customWidth="1"/>
    <col min="2" max="2" width="56" style="357" customWidth="1"/>
    <col min="3" max="3" width="26.28515625" style="357" customWidth="1"/>
    <col min="4" max="4" width="20.7109375" style="357" customWidth="1"/>
    <col min="5" max="5" width="29.42578125" style="357" customWidth="1"/>
    <col min="6" max="16384" width="9.140625" style="357"/>
  </cols>
  <sheetData>
    <row r="1" spans="1:5" ht="26.25" customHeight="1">
      <c r="A1" s="417" t="s">
        <v>669</v>
      </c>
      <c r="B1" s="417"/>
      <c r="C1" s="417"/>
      <c r="D1" s="417"/>
      <c r="E1" s="417"/>
    </row>
    <row r="2" spans="1:5" ht="26.25" customHeight="1">
      <c r="A2" s="418" t="s">
        <v>665</v>
      </c>
      <c r="B2" s="418"/>
      <c r="C2" s="418"/>
      <c r="D2" s="418"/>
      <c r="E2" s="418"/>
    </row>
    <row r="3" spans="1:5" ht="23.25" customHeight="1">
      <c r="A3" s="419" t="s">
        <v>636</v>
      </c>
      <c r="B3" s="419"/>
      <c r="C3" s="419"/>
      <c r="D3" s="419"/>
      <c r="E3" s="419"/>
    </row>
    <row r="4" spans="1:5" ht="240.75" customHeight="1">
      <c r="A4" s="420" t="s">
        <v>670</v>
      </c>
      <c r="B4" s="420"/>
      <c r="C4" s="420"/>
      <c r="D4" s="420"/>
      <c r="E4" s="420"/>
    </row>
    <row r="5" spans="1:5" ht="23.25" customHeight="1">
      <c r="A5" s="419" t="s">
        <v>637</v>
      </c>
      <c r="B5" s="419"/>
      <c r="C5" s="419"/>
      <c r="D5" s="419"/>
      <c r="E5" s="419"/>
    </row>
    <row r="6" spans="1:5" ht="108" customHeight="1">
      <c r="A6" s="427" t="s">
        <v>708</v>
      </c>
      <c r="B6" s="428"/>
      <c r="C6" s="428"/>
      <c r="D6" s="428"/>
      <c r="E6" s="429"/>
    </row>
    <row r="7" spans="1:5" ht="23.25" customHeight="1">
      <c r="A7" s="430" t="s">
        <v>671</v>
      </c>
      <c r="B7" s="430"/>
      <c r="C7" s="430"/>
      <c r="D7" s="430"/>
      <c r="E7" s="430"/>
    </row>
    <row r="8" spans="1:5" ht="125.25" customHeight="1">
      <c r="A8" s="420" t="s">
        <v>707</v>
      </c>
      <c r="B8" s="420"/>
      <c r="C8" s="420"/>
      <c r="D8" s="420"/>
      <c r="E8" s="420"/>
    </row>
    <row r="9" spans="1:5" ht="23.25">
      <c r="A9" s="419" t="s">
        <v>662</v>
      </c>
      <c r="B9" s="419"/>
      <c r="C9" s="419"/>
      <c r="D9" s="419"/>
      <c r="E9" s="419"/>
    </row>
    <row r="10" spans="1:5">
      <c r="A10" s="357" t="s">
        <v>638</v>
      </c>
      <c r="B10" s="357" t="s">
        <v>152</v>
      </c>
    </row>
    <row r="11" spans="1:5" ht="20.25" customHeight="1">
      <c r="A11" s="361"/>
      <c r="B11" s="431" t="s">
        <v>415</v>
      </c>
      <c r="C11" s="432"/>
      <c r="D11" s="432"/>
      <c r="E11" s="433"/>
    </row>
    <row r="12" spans="1:5">
      <c r="A12" s="362"/>
      <c r="B12" s="421" t="s">
        <v>416</v>
      </c>
      <c r="C12" s="421"/>
      <c r="D12" s="421"/>
      <c r="E12" s="421"/>
    </row>
    <row r="13" spans="1:5" s="365" customFormat="1">
      <c r="A13" s="422"/>
      <c r="B13" s="422"/>
      <c r="C13" s="422"/>
      <c r="D13" s="422"/>
      <c r="E13" s="423"/>
    </row>
    <row r="14" spans="1:5" ht="23.25">
      <c r="A14" s="419" t="s">
        <v>663</v>
      </c>
      <c r="B14" s="419"/>
      <c r="C14" s="419"/>
      <c r="D14" s="419"/>
      <c r="E14" s="419"/>
    </row>
    <row r="15" spans="1:5">
      <c r="A15" s="358" t="s">
        <v>634</v>
      </c>
      <c r="B15" s="358" t="s">
        <v>672</v>
      </c>
      <c r="C15" s="358" t="s">
        <v>468</v>
      </c>
      <c r="D15" s="358" t="s">
        <v>642</v>
      </c>
      <c r="E15" s="358" t="s">
        <v>635</v>
      </c>
    </row>
    <row r="16" spans="1:5">
      <c r="A16" s="366" t="s">
        <v>175</v>
      </c>
      <c r="B16" s="366" t="s">
        <v>673</v>
      </c>
      <c r="C16" s="366"/>
      <c r="D16" s="366"/>
      <c r="E16" s="366"/>
    </row>
    <row r="17" spans="1:5" ht="60">
      <c r="A17" s="367" t="s">
        <v>652</v>
      </c>
      <c r="B17" s="359" t="s">
        <v>659</v>
      </c>
      <c r="C17" s="359" t="s">
        <v>704</v>
      </c>
      <c r="D17" s="359" t="s">
        <v>674</v>
      </c>
      <c r="E17" s="359"/>
    </row>
    <row r="18" spans="1:5" ht="90">
      <c r="A18" s="367" t="s">
        <v>653</v>
      </c>
      <c r="B18" s="359" t="s">
        <v>639</v>
      </c>
      <c r="C18" s="359" t="s">
        <v>705</v>
      </c>
      <c r="D18" s="359" t="s">
        <v>675</v>
      </c>
      <c r="E18" s="359"/>
    </row>
    <row r="19" spans="1:5" ht="26.25" customHeight="1">
      <c r="A19" s="367" t="s">
        <v>654</v>
      </c>
      <c r="B19" s="360" t="s">
        <v>666</v>
      </c>
      <c r="C19" s="359" t="s">
        <v>676</v>
      </c>
      <c r="D19" s="359" t="s">
        <v>677</v>
      </c>
      <c r="E19" s="359" t="s">
        <v>664</v>
      </c>
    </row>
    <row r="20" spans="1:5" ht="30">
      <c r="A20" s="367" t="s">
        <v>655</v>
      </c>
      <c r="B20" s="359" t="s">
        <v>706</v>
      </c>
      <c r="C20" s="359"/>
      <c r="D20" s="359"/>
      <c r="E20" s="359"/>
    </row>
    <row r="21" spans="1:5">
      <c r="A21" s="359">
        <v>4.0999999999999996</v>
      </c>
      <c r="B21" s="359" t="s">
        <v>646</v>
      </c>
      <c r="C21" s="424" t="s">
        <v>678</v>
      </c>
      <c r="D21" s="359" t="s">
        <v>679</v>
      </c>
      <c r="E21" s="359"/>
    </row>
    <row r="22" spans="1:5" ht="30">
      <c r="A22" s="359">
        <v>4.2</v>
      </c>
      <c r="B22" s="359" t="s">
        <v>650</v>
      </c>
      <c r="C22" s="425"/>
      <c r="D22" s="359" t="s">
        <v>680</v>
      </c>
      <c r="E22" s="359"/>
    </row>
    <row r="23" spans="1:5">
      <c r="A23" s="359">
        <v>4.3</v>
      </c>
      <c r="B23" s="359" t="s">
        <v>647</v>
      </c>
      <c r="C23" s="425"/>
      <c r="D23" s="359" t="s">
        <v>681</v>
      </c>
      <c r="E23" s="359"/>
    </row>
    <row r="24" spans="1:5">
      <c r="A24" s="359">
        <v>4.4000000000000004</v>
      </c>
      <c r="B24" s="359" t="s">
        <v>648</v>
      </c>
      <c r="C24" s="425"/>
      <c r="D24" s="359" t="s">
        <v>682</v>
      </c>
      <c r="E24" s="359"/>
    </row>
    <row r="25" spans="1:5">
      <c r="A25" s="359">
        <v>4.5</v>
      </c>
      <c r="B25" s="359" t="s">
        <v>649</v>
      </c>
      <c r="C25" s="425"/>
      <c r="D25" s="359" t="s">
        <v>683</v>
      </c>
      <c r="E25" s="359"/>
    </row>
    <row r="26" spans="1:5">
      <c r="A26" s="359">
        <v>4.5999999999999996</v>
      </c>
      <c r="B26" s="359" t="s">
        <v>651</v>
      </c>
      <c r="C26" s="426"/>
      <c r="D26" s="359" t="s">
        <v>684</v>
      </c>
      <c r="E26" s="359"/>
    </row>
    <row r="27" spans="1:5" ht="45">
      <c r="A27" s="367" t="s">
        <v>656</v>
      </c>
      <c r="B27" s="359" t="s">
        <v>640</v>
      </c>
      <c r="C27" s="359" t="s">
        <v>685</v>
      </c>
      <c r="D27" s="359" t="s">
        <v>710</v>
      </c>
      <c r="E27" s="359"/>
    </row>
    <row r="28" spans="1:5" ht="60">
      <c r="A28" s="367" t="s">
        <v>657</v>
      </c>
      <c r="B28" s="359" t="s">
        <v>686</v>
      </c>
      <c r="C28" s="359" t="s">
        <v>687</v>
      </c>
      <c r="D28" s="359" t="s">
        <v>688</v>
      </c>
      <c r="E28" s="359"/>
    </row>
    <row r="29" spans="1:5" ht="45">
      <c r="A29" s="367" t="s">
        <v>658</v>
      </c>
      <c r="B29" s="359" t="s">
        <v>641</v>
      </c>
      <c r="C29" s="359" t="s">
        <v>689</v>
      </c>
      <c r="D29" s="359" t="s">
        <v>690</v>
      </c>
      <c r="E29" s="359"/>
    </row>
    <row r="30" spans="1:5">
      <c r="A30" s="366" t="s">
        <v>176</v>
      </c>
      <c r="B30" s="368" t="s">
        <v>691</v>
      </c>
      <c r="C30" s="366"/>
      <c r="D30" s="366"/>
      <c r="E30" s="366"/>
    </row>
    <row r="31" spans="1:5" ht="26.25" customHeight="1">
      <c r="A31" s="369" t="s">
        <v>692</v>
      </c>
      <c r="B31" s="359" t="s">
        <v>643</v>
      </c>
      <c r="C31" s="359"/>
      <c r="D31" s="359" t="s">
        <v>693</v>
      </c>
      <c r="E31" s="359" t="s">
        <v>664</v>
      </c>
    </row>
    <row r="32" spans="1:5">
      <c r="A32" s="369" t="s">
        <v>694</v>
      </c>
      <c r="B32" s="359" t="s">
        <v>644</v>
      </c>
      <c r="C32" s="359"/>
      <c r="D32" s="359" t="s">
        <v>695</v>
      </c>
      <c r="E32" s="359" t="s">
        <v>664</v>
      </c>
    </row>
    <row r="33" spans="1:5">
      <c r="A33" s="369" t="s">
        <v>696</v>
      </c>
      <c r="B33" s="359" t="s">
        <v>645</v>
      </c>
      <c r="C33" s="359"/>
      <c r="D33" s="359" t="s">
        <v>697</v>
      </c>
      <c r="E33" s="359" t="s">
        <v>664</v>
      </c>
    </row>
    <row r="34" spans="1:5" ht="35.25" customHeight="1">
      <c r="A34" s="369" t="s">
        <v>698</v>
      </c>
      <c r="B34" s="359" t="s">
        <v>660</v>
      </c>
      <c r="C34" s="359"/>
      <c r="D34" s="359" t="s">
        <v>699</v>
      </c>
      <c r="E34" s="359" t="s">
        <v>664</v>
      </c>
    </row>
    <row r="35" spans="1:5" ht="35.25" customHeight="1">
      <c r="A35" s="369" t="s">
        <v>700</v>
      </c>
      <c r="B35" s="359" t="s">
        <v>701</v>
      </c>
      <c r="C35" s="359"/>
      <c r="D35" s="359" t="s">
        <v>709</v>
      </c>
      <c r="E35" s="359" t="s">
        <v>664</v>
      </c>
    </row>
    <row r="36" spans="1:5">
      <c r="A36" s="367" t="s">
        <v>702</v>
      </c>
      <c r="B36" s="359" t="s">
        <v>703</v>
      </c>
      <c r="C36" s="359"/>
      <c r="D36" s="359"/>
      <c r="E36" s="359"/>
    </row>
    <row r="37" spans="1:5" ht="21">
      <c r="A37" s="416"/>
      <c r="B37" s="416"/>
      <c r="C37" s="416"/>
      <c r="D37" s="416"/>
      <c r="E37" s="41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4" right="0.38" top="0.75" bottom="0.75" header="0.3" footer="0.3"/>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194"/>
  <sheetViews>
    <sheetView tabSelected="1" view="pageBreakPreview" topLeftCell="A184" zoomScale="80" zoomScaleNormal="100" zoomScaleSheetLayoutView="80" workbookViewId="0">
      <selection activeCell="C194" sqref="C194:I194"/>
    </sheetView>
  </sheetViews>
  <sheetFormatPr defaultRowHeight="15"/>
  <cols>
    <col min="2" max="2" width="32.7109375" bestFit="1" customWidth="1"/>
    <col min="3" max="3" width="17.7109375" customWidth="1"/>
    <col min="4" max="4" width="14.85546875" customWidth="1"/>
    <col min="5" max="5" width="16.2851562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3" spans="2:19" ht="18.75">
      <c r="B3" s="482" t="s">
        <v>585</v>
      </c>
      <c r="C3" s="482"/>
      <c r="D3" s="482"/>
      <c r="E3" s="482"/>
      <c r="F3" s="482"/>
      <c r="G3" s="482"/>
      <c r="H3" s="482"/>
      <c r="I3" s="482"/>
      <c r="J3" s="482"/>
    </row>
    <row r="4" spans="2:19" ht="16.5">
      <c r="B4" s="8"/>
      <c r="C4" s="8"/>
      <c r="D4" s="8"/>
      <c r="E4" s="8"/>
      <c r="F4" s="8"/>
      <c r="G4" s="8"/>
      <c r="H4" s="8"/>
      <c r="I4" s="8"/>
      <c r="J4" s="8"/>
    </row>
    <row r="5" spans="2:19" ht="15.75">
      <c r="B5" s="86" t="s">
        <v>29</v>
      </c>
      <c r="C5" s="87" t="s">
        <v>342</v>
      </c>
      <c r="D5" s="87" t="s">
        <v>2</v>
      </c>
      <c r="E5" s="87" t="s">
        <v>3</v>
      </c>
      <c r="F5" s="87" t="s">
        <v>4</v>
      </c>
      <c r="G5" s="87" t="s">
        <v>5</v>
      </c>
      <c r="H5" s="87" t="s">
        <v>6</v>
      </c>
      <c r="I5" s="87" t="s">
        <v>171</v>
      </c>
      <c r="J5" s="87" t="s">
        <v>170</v>
      </c>
      <c r="L5" s="363"/>
    </row>
    <row r="6" spans="2:19">
      <c r="B6" s="88"/>
      <c r="C6" s="88"/>
      <c r="D6" s="88"/>
      <c r="E6" s="88"/>
      <c r="F6" s="88"/>
      <c r="G6" s="88"/>
      <c r="H6" s="88"/>
      <c r="I6" s="88"/>
      <c r="J6" s="88"/>
    </row>
    <row r="7" spans="2:19">
      <c r="B7" s="88" t="s">
        <v>30</v>
      </c>
      <c r="C7" s="88"/>
      <c r="D7" s="89">
        <f>'6.Cons Profit &amp; Loss'!B51</f>
        <v>2731448.713748937</v>
      </c>
      <c r="E7" s="89">
        <f>'6.Cons Profit &amp; Loss'!C51</f>
        <v>4283408.7347564679</v>
      </c>
      <c r="F7" s="89">
        <f>'6.Cons Profit &amp; Loss'!D51</f>
        <v>5503969.9306792598</v>
      </c>
      <c r="G7" s="89">
        <f>'6.Cons Profit &amp; Loss'!E51</f>
        <v>6854256.7366172988</v>
      </c>
      <c r="H7" s="89">
        <f>'6.Cons Profit &amp; Loss'!F51</f>
        <v>8342184.8288916349</v>
      </c>
      <c r="I7" s="89">
        <f>'6.Cons Profit &amp; Loss'!G51</f>
        <v>10080181.57348259</v>
      </c>
      <c r="J7" s="89">
        <f>'6.Cons Profit &amp; Loss'!H51</f>
        <v>12263339.810406484</v>
      </c>
    </row>
    <row r="8" spans="2:19">
      <c r="B8" s="88"/>
      <c r="C8" s="88"/>
      <c r="D8" s="89"/>
      <c r="E8" s="89"/>
      <c r="F8" s="89"/>
      <c r="G8" s="89"/>
      <c r="H8" s="89"/>
      <c r="I8" s="89"/>
      <c r="J8" s="89"/>
    </row>
    <row r="9" spans="2:19">
      <c r="B9" s="90" t="s">
        <v>31</v>
      </c>
      <c r="C9" s="90"/>
      <c r="D9" s="89">
        <f>'6.Cons Profit &amp; Loss'!B42</f>
        <v>1185445.3676999998</v>
      </c>
      <c r="E9" s="89">
        <f>'6.Cons Profit &amp; Loss'!C42</f>
        <v>1185445.3676999998</v>
      </c>
      <c r="F9" s="89">
        <f>'6.Cons Profit &amp; Loss'!D42</f>
        <v>1185445.3676999998</v>
      </c>
      <c r="G9" s="89">
        <f>'6.Cons Profit &amp; Loss'!E42</f>
        <v>1185445.3676999998</v>
      </c>
      <c r="H9" s="89">
        <f>'6.Cons Profit &amp; Loss'!F42</f>
        <v>1185445.3676999998</v>
      </c>
      <c r="I9" s="89">
        <f>'6.Cons Profit &amp; Loss'!G42</f>
        <v>1185445.3676999998</v>
      </c>
      <c r="J9" s="89">
        <f>'6.Cons Profit &amp; Loss'!H42</f>
        <v>1185445.3676999998</v>
      </c>
    </row>
    <row r="10" spans="2:19">
      <c r="B10" s="88" t="s">
        <v>36</v>
      </c>
      <c r="C10" s="88"/>
      <c r="D10" s="89">
        <f>'6.Cons Profit &amp; Loss'!B43</f>
        <v>315408.8</v>
      </c>
      <c r="E10" s="89">
        <f>'6.Cons Profit &amp; Loss'!C43</f>
        <v>315408.8</v>
      </c>
      <c r="F10" s="89">
        <f>'6.Cons Profit &amp; Loss'!D43</f>
        <v>315408.8</v>
      </c>
      <c r="G10" s="89">
        <f>'6.Cons Profit &amp; Loss'!E43</f>
        <v>315408.8</v>
      </c>
      <c r="H10" s="89">
        <f>'6.Cons Profit &amp; Loss'!F43</f>
        <v>315408.8</v>
      </c>
      <c r="I10" s="89">
        <f>'6.Cons Profit &amp; Loss'!G43</f>
        <v>0</v>
      </c>
      <c r="J10" s="89">
        <f>'6.Cons Profit &amp; Loss'!H43</f>
        <v>0</v>
      </c>
    </row>
    <row r="11" spans="2:19">
      <c r="B11" s="88"/>
      <c r="C11" s="88"/>
      <c r="D11" s="88"/>
      <c r="E11" s="88"/>
      <c r="F11" s="88"/>
      <c r="G11" s="88"/>
      <c r="H11" s="88"/>
      <c r="I11" s="88"/>
      <c r="J11" s="88"/>
    </row>
    <row r="12" spans="2:19">
      <c r="B12" s="88" t="s">
        <v>32</v>
      </c>
      <c r="C12" s="88"/>
      <c r="D12" s="89">
        <f>SUM(D7:D10)</f>
        <v>4232302.8814489366</v>
      </c>
      <c r="E12" s="89">
        <f t="shared" ref="E12:J12" si="0">SUM(E7:E10)</f>
        <v>5784262.902456467</v>
      </c>
      <c r="F12" s="89">
        <f t="shared" si="0"/>
        <v>7004824.098379259</v>
      </c>
      <c r="G12" s="89">
        <f t="shared" si="0"/>
        <v>8355110.904317298</v>
      </c>
      <c r="H12" s="89">
        <f t="shared" si="0"/>
        <v>9843038.996591635</v>
      </c>
      <c r="I12" s="89">
        <f t="shared" si="0"/>
        <v>11265626.941182589</v>
      </c>
      <c r="J12" s="89">
        <f t="shared" si="0"/>
        <v>13448785.178106483</v>
      </c>
    </row>
    <row r="13" spans="2:19">
      <c r="B13" s="88" t="s">
        <v>351</v>
      </c>
      <c r="C13" s="91">
        <f>-'1.Project Cost and MOF'!D12</f>
        <v>-34226101.954615891</v>
      </c>
      <c r="D13" s="89">
        <f>D12</f>
        <v>4232302.8814489366</v>
      </c>
      <c r="E13" s="89">
        <f t="shared" ref="E13:J13" si="1">E12</f>
        <v>5784262.902456467</v>
      </c>
      <c r="F13" s="89">
        <f t="shared" si="1"/>
        <v>7004824.098379259</v>
      </c>
      <c r="G13" s="89">
        <f t="shared" si="1"/>
        <v>8355110.904317298</v>
      </c>
      <c r="H13" s="89">
        <f t="shared" si="1"/>
        <v>9843038.996591635</v>
      </c>
      <c r="I13" s="89">
        <f t="shared" si="1"/>
        <v>11265626.941182589</v>
      </c>
      <c r="J13" s="89">
        <f t="shared" si="1"/>
        <v>13448785.178106483</v>
      </c>
    </row>
    <row r="14" spans="2:19">
      <c r="B14" s="88" t="s">
        <v>283</v>
      </c>
      <c r="C14" s="258">
        <f>IRR(C13:J13)</f>
        <v>0.13386929508119194</v>
      </c>
      <c r="D14" s="89"/>
      <c r="E14" s="89"/>
      <c r="F14" s="89"/>
      <c r="G14" s="89"/>
      <c r="H14" s="89"/>
      <c r="I14" s="89"/>
      <c r="J14" s="89"/>
    </row>
    <row r="15" spans="2:19">
      <c r="B15" s="88"/>
      <c r="C15" s="88"/>
      <c r="D15" s="88"/>
      <c r="E15" s="88"/>
      <c r="F15" s="88"/>
      <c r="G15" s="88"/>
      <c r="H15" s="88"/>
      <c r="I15" s="88"/>
      <c r="J15" s="88"/>
    </row>
    <row r="16" spans="2:19" ht="16.5">
      <c r="B16" s="259" t="s">
        <v>418</v>
      </c>
      <c r="C16" s="259"/>
      <c r="D16" s="260">
        <f>1/(1+$C$14)</f>
        <v>0.88193586715688765</v>
      </c>
      <c r="E16" s="261">
        <f t="shared" ref="E16:J16" si="2">D16/(1+$C$14)</f>
        <v>0.77781087377777147</v>
      </c>
      <c r="F16" s="261">
        <f t="shared" si="2"/>
        <v>0.68597930744925539</v>
      </c>
      <c r="G16" s="261">
        <f t="shared" si="2"/>
        <v>0.60498975536694033</v>
      </c>
      <c r="H16" s="261">
        <f t="shared" si="2"/>
        <v>0.53356216452057592</v>
      </c>
      <c r="I16" s="261">
        <f t="shared" si="2"/>
        <v>0.47056761024856009</v>
      </c>
      <c r="J16" s="261">
        <f t="shared" si="2"/>
        <v>0.41501045340050818</v>
      </c>
      <c r="L16" s="17"/>
      <c r="M16" s="17"/>
      <c r="N16" s="17"/>
      <c r="O16" s="17"/>
      <c r="P16" s="17"/>
      <c r="Q16" s="17"/>
      <c r="R16" s="17"/>
      <c r="S16" s="17"/>
    </row>
    <row r="17" spans="2:13">
      <c r="B17" s="88" t="s">
        <v>33</v>
      </c>
      <c r="C17" s="88"/>
      <c r="D17" s="89">
        <f t="shared" ref="D17:J17" si="3">D12*D16</f>
        <v>3732619.7118212623</v>
      </c>
      <c r="E17" s="89">
        <f t="shared" si="3"/>
        <v>4499062.5823200131</v>
      </c>
      <c r="F17" s="89">
        <f t="shared" si="3"/>
        <v>4805164.3838100592</v>
      </c>
      <c r="G17" s="89">
        <f t="shared" si="3"/>
        <v>5054756.5020665778</v>
      </c>
      <c r="H17" s="89">
        <f t="shared" si="3"/>
        <v>5251873.1924818708</v>
      </c>
      <c r="I17" s="89">
        <f t="shared" si="3"/>
        <v>5301239.1476640869</v>
      </c>
      <c r="J17" s="89">
        <f t="shared" si="3"/>
        <v>5581386.4344520057</v>
      </c>
      <c r="L17" s="6"/>
    </row>
    <row r="18" spans="2:13">
      <c r="B18" s="88" t="s">
        <v>34</v>
      </c>
      <c r="C18" s="88"/>
      <c r="D18" s="477">
        <f>SUM(D17:J17)</f>
        <v>34226101.954615876</v>
      </c>
      <c r="E18" s="477"/>
      <c r="F18" s="477"/>
      <c r="G18" s="477"/>
      <c r="H18" s="477"/>
      <c r="I18" s="477"/>
      <c r="J18" s="477"/>
      <c r="L18" s="6"/>
    </row>
    <row r="19" spans="2:13">
      <c r="B19" s="88"/>
      <c r="C19" s="88"/>
      <c r="D19" s="89"/>
      <c r="E19" s="89"/>
      <c r="F19" s="89"/>
      <c r="G19" s="89"/>
      <c r="H19" s="89"/>
      <c r="I19" s="89"/>
      <c r="J19" s="89"/>
    </row>
    <row r="20" spans="2:13">
      <c r="B20" s="9" t="s">
        <v>35</v>
      </c>
      <c r="C20" s="9"/>
      <c r="D20" s="478">
        <f>'1.Project Cost and MOF'!D12</f>
        <v>34226101.954615891</v>
      </c>
      <c r="E20" s="478"/>
      <c r="F20" s="478"/>
      <c r="G20" s="478"/>
      <c r="H20" s="478"/>
      <c r="I20" s="478"/>
      <c r="J20" s="478"/>
    </row>
    <row r="21" spans="2:13">
      <c r="F21" s="17">
        <f>D18-D20</f>
        <v>0</v>
      </c>
    </row>
    <row r="22" spans="2:13" ht="29.45" customHeight="1">
      <c r="B22" s="483" t="s">
        <v>436</v>
      </c>
      <c r="C22" s="483"/>
      <c r="D22" s="483"/>
      <c r="E22" s="483"/>
      <c r="F22" s="483"/>
      <c r="G22" s="483"/>
      <c r="H22" s="483"/>
      <c r="I22" s="483"/>
      <c r="J22" s="483"/>
    </row>
    <row r="23" spans="2:13">
      <c r="K23" s="17"/>
      <c r="L23" s="17"/>
      <c r="M23" s="17"/>
    </row>
    <row r="24" spans="2:13" ht="18.75">
      <c r="B24" s="438" t="s">
        <v>586</v>
      </c>
      <c r="C24" s="438"/>
      <c r="D24" s="438"/>
      <c r="E24" s="438"/>
      <c r="F24" s="438"/>
      <c r="G24" s="438"/>
      <c r="H24" s="438"/>
      <c r="I24" s="438"/>
    </row>
    <row r="25" spans="2:13">
      <c r="K25" s="17"/>
    </row>
    <row r="26" spans="2:13">
      <c r="B26" s="113" t="s">
        <v>0</v>
      </c>
      <c r="C26" s="104" t="s">
        <v>2</v>
      </c>
      <c r="D26" s="104" t="s">
        <v>3</v>
      </c>
      <c r="E26" s="104" t="s">
        <v>4</v>
      </c>
      <c r="F26" s="104" t="s">
        <v>5</v>
      </c>
      <c r="G26" s="104" t="s">
        <v>6</v>
      </c>
      <c r="H26" s="104" t="s">
        <v>171</v>
      </c>
      <c r="I26" s="104" t="s">
        <v>170</v>
      </c>
    </row>
    <row r="27" spans="2:13">
      <c r="B27" s="95"/>
      <c r="C27" s="95"/>
      <c r="D27" s="95"/>
      <c r="E27" s="95"/>
      <c r="F27" s="95"/>
      <c r="G27" s="95"/>
      <c r="H27" s="95"/>
      <c r="I27" s="95"/>
    </row>
    <row r="28" spans="2:13">
      <c r="B28" s="95" t="s">
        <v>37</v>
      </c>
      <c r="C28" s="95"/>
      <c r="D28" s="95"/>
      <c r="E28" s="95"/>
      <c r="F28" s="95"/>
      <c r="G28" s="95"/>
      <c r="H28" s="95"/>
      <c r="I28" s="95"/>
    </row>
    <row r="29" spans="2:13">
      <c r="B29" s="95"/>
      <c r="C29" s="96"/>
      <c r="D29" s="96"/>
      <c r="E29" s="96"/>
      <c r="F29" s="96"/>
      <c r="G29" s="96"/>
      <c r="H29" s="96"/>
      <c r="I29" s="96"/>
    </row>
    <row r="30" spans="2:13">
      <c r="B30" s="110" t="str">
        <f>'6.Cons Profit &amp; Loss'!A8</f>
        <v>Faclitiy 1 - Cleaning &amp; Grading</v>
      </c>
      <c r="C30" s="96">
        <f>'6.Cons Profit &amp; Loss'!B8</f>
        <v>16591683.239999998</v>
      </c>
      <c r="D30" s="96">
        <f>'6.Cons Profit &amp; Loss'!C8</f>
        <v>20064021.100199997</v>
      </c>
      <c r="E30" s="96">
        <f>'6.Cons Profit &amp; Loss'!D8</f>
        <v>22991021.063010003</v>
      </c>
      <c r="F30" s="96">
        <f>'6.Cons Profit &amp; Loss'!E8</f>
        <v>26160560.969350506</v>
      </c>
      <c r="G30" s="96">
        <f>'6.Cons Profit &amp; Loss'!F8</f>
        <v>29589577.313667536</v>
      </c>
      <c r="H30" s="96">
        <f>'6.Cons Profit &amp; Loss'!G8</f>
        <v>33296093.889992896</v>
      </c>
      <c r="I30" s="96">
        <f>'6.Cons Profit &amp; Loss'!H8</f>
        <v>37299288.180666618</v>
      </c>
    </row>
    <row r="31" spans="2:13">
      <c r="B31" s="110" t="str">
        <f>'6.Cons Profit &amp; Loss'!A9</f>
        <v>Faclitiy 2 - Processing Unit- Dal Mill</v>
      </c>
      <c r="C31" s="96">
        <f>'6.Cons Profit &amp; Loss'!B9</f>
        <v>1364774.4000000001</v>
      </c>
      <c r="D31" s="96">
        <f>'6.Cons Profit &amp; Loss'!C9</f>
        <v>2186775.3600000003</v>
      </c>
      <c r="E31" s="96">
        <f>'6.Cons Profit &amp; Loss'!D9</f>
        <v>3068005.2480000006</v>
      </c>
      <c r="F31" s="96">
        <f>'6.Cons Profit &amp; Loss'!E9</f>
        <v>4031891.1864000014</v>
      </c>
      <c r="G31" s="96">
        <f>'6.Cons Profit &amp; Loss'!F9</f>
        <v>5084495.7055200012</v>
      </c>
      <c r="H31" s="96">
        <f>'6.Cons Profit &amp; Loss'!G9</f>
        <v>6232280.948586002</v>
      </c>
      <c r="I31" s="96">
        <f>'6.Cons Profit &amp; Loss'!H9</f>
        <v>7482133.4766948018</v>
      </c>
    </row>
    <row r="32" spans="2:13">
      <c r="B32" s="110" t="str">
        <f>'6.Cons Profit &amp; Loss'!A10</f>
        <v>Faclitiy 3 - Warehouse</v>
      </c>
      <c r="C32" s="96">
        <f>'6.Cons Profit &amp; Loss'!B10</f>
        <v>2208000</v>
      </c>
      <c r="D32" s="96">
        <f>'6.Cons Profit &amp; Loss'!C10</f>
        <v>2463300.0000000005</v>
      </c>
      <c r="E32" s="96">
        <f>'6.Cons Profit &amp; Loss'!D10</f>
        <v>2738610.0000000009</v>
      </c>
      <c r="F32" s="96">
        <f>'6.Cons Profit &amp; Loss'!E10</f>
        <v>3035292.7500000014</v>
      </c>
      <c r="G32" s="96">
        <f>'6.Cons Profit &amp; Loss'!F10</f>
        <v>3354797.2500000019</v>
      </c>
      <c r="H32" s="96">
        <f>'6.Cons Profit &amp; Loss'!G10</f>
        <v>3522537.1125000021</v>
      </c>
      <c r="I32" s="96">
        <f>'6.Cons Profit &amp; Loss'!H10</f>
        <v>3698663.9681250025</v>
      </c>
    </row>
    <row r="33" spans="2:9">
      <c r="B33" s="110" t="str">
        <f>'6.Cons Profit &amp; Loss'!A11</f>
        <v xml:space="preserve">Faclitiy 4 - Custom Hiring </v>
      </c>
      <c r="C33" s="96">
        <f>'6.Cons Profit &amp; Loss'!B11</f>
        <v>0</v>
      </c>
      <c r="D33" s="96">
        <f>'6.Cons Profit &amp; Loss'!C11</f>
        <v>0</v>
      </c>
      <c r="E33" s="96">
        <f>'6.Cons Profit &amp; Loss'!D11</f>
        <v>0</v>
      </c>
      <c r="F33" s="96">
        <f>'6.Cons Profit &amp; Loss'!E11</f>
        <v>0</v>
      </c>
      <c r="G33" s="96">
        <f>'6.Cons Profit &amp; Loss'!F11</f>
        <v>0</v>
      </c>
      <c r="H33" s="96">
        <f>'6.Cons Profit &amp; Loss'!G11</f>
        <v>0</v>
      </c>
      <c r="I33" s="96">
        <f>'6.Cons Profit &amp; Loss'!H11</f>
        <v>0</v>
      </c>
    </row>
    <row r="34" spans="2:9">
      <c r="B34" s="110" t="str">
        <f>'6.Cons Profit &amp; Loss'!A12</f>
        <v>Faclitiy 5 - Agri Input Centre</v>
      </c>
      <c r="C34" s="96">
        <f>'6.Cons Profit &amp; Loss'!B12</f>
        <v>49576338.239999995</v>
      </c>
      <c r="D34" s="96">
        <f>'6.Cons Profit &amp; Loss'!C12</f>
        <v>58692764.592</v>
      </c>
      <c r="E34" s="96">
        <f>'6.Cons Profit &amp; Loss'!D12</f>
        <v>66044552.66640003</v>
      </c>
      <c r="F34" s="96">
        <f>'6.Cons Profit &amp; Loss'!E12</f>
        <v>73984787.636760026</v>
      </c>
      <c r="G34" s="96">
        <f>'6.Cons Profit &amp; Loss'!F12</f>
        <v>82553934.722490042</v>
      </c>
      <c r="H34" s="96">
        <f>'6.Cons Profit &amp; Loss'!G12</f>
        <v>91795034.54770115</v>
      </c>
      <c r="I34" s="96">
        <f>'6.Cons Profit &amp; Loss'!H12</f>
        <v>101753859.51862712</v>
      </c>
    </row>
    <row r="35" spans="2:9">
      <c r="B35" s="110" t="str">
        <f>'6.Cons Profit &amp; Loss'!A13</f>
        <v>Facility 6 - Processing Unit - Horti Commodity</v>
      </c>
      <c r="C35" s="96">
        <f>'6.Cons Profit &amp; Loss'!B13</f>
        <v>0</v>
      </c>
      <c r="D35" s="96">
        <f>'6.Cons Profit &amp; Loss'!C13</f>
        <v>0</v>
      </c>
      <c r="E35" s="96">
        <f>'6.Cons Profit &amp; Loss'!D13</f>
        <v>0</v>
      </c>
      <c r="F35" s="96">
        <f>'6.Cons Profit &amp; Loss'!E13</f>
        <v>0</v>
      </c>
      <c r="G35" s="96">
        <f>'6.Cons Profit &amp; Loss'!F13</f>
        <v>0</v>
      </c>
      <c r="H35" s="96">
        <f>'6.Cons Profit &amp; Loss'!G13</f>
        <v>0</v>
      </c>
      <c r="I35" s="96">
        <f>'6.Cons Profit &amp; Loss'!H13</f>
        <v>0</v>
      </c>
    </row>
    <row r="36" spans="2:9">
      <c r="B36" s="110"/>
      <c r="C36" s="110"/>
      <c r="D36" s="110"/>
      <c r="E36" s="110"/>
      <c r="F36" s="110"/>
      <c r="G36" s="110"/>
      <c r="H36" s="110"/>
      <c r="I36" s="110"/>
    </row>
    <row r="37" spans="2:9">
      <c r="B37" s="95" t="s">
        <v>8</v>
      </c>
      <c r="C37" s="96">
        <f>SUM(C30:C36)</f>
        <v>69740795.879999995</v>
      </c>
      <c r="D37" s="96">
        <f t="shared" ref="D37:I37" si="4">SUM(D30:D36)</f>
        <v>83406861.05219999</v>
      </c>
      <c r="E37" s="96">
        <f t="shared" si="4"/>
        <v>94842188.977410033</v>
      </c>
      <c r="F37" s="96">
        <f t="shared" si="4"/>
        <v>107212532.54251054</v>
      </c>
      <c r="G37" s="96">
        <f t="shared" si="4"/>
        <v>120582804.99167758</v>
      </c>
      <c r="H37" s="96">
        <f t="shared" si="4"/>
        <v>134845946.49878004</v>
      </c>
      <c r="I37" s="96">
        <f t="shared" si="4"/>
        <v>150233945.14411354</v>
      </c>
    </row>
    <row r="38" spans="2:9">
      <c r="B38" s="95"/>
      <c r="C38" s="96"/>
      <c r="D38" s="96"/>
      <c r="E38" s="96"/>
      <c r="F38" s="96"/>
      <c r="G38" s="96"/>
      <c r="H38" s="96"/>
      <c r="I38" s="96"/>
    </row>
    <row r="39" spans="2:9">
      <c r="B39" s="95" t="s">
        <v>38</v>
      </c>
      <c r="C39" s="96">
        <f>'6.Cons Profit &amp; Loss'!B25</f>
        <v>59120859.446400002</v>
      </c>
      <c r="D39" s="96">
        <f>'6.Cons Profit &amp; Loss'!C25</f>
        <v>70180936.77452001</v>
      </c>
      <c r="E39" s="96">
        <f>'6.Cons Profit &amp; Loss'!D25</f>
        <v>79624539.866256014</v>
      </c>
      <c r="F39" s="96">
        <f>'6.Cons Profit &amp; Loss'!E25</f>
        <v>89837050.925229341</v>
      </c>
      <c r="G39" s="96">
        <f>'6.Cons Profit &amp; Loss'!F25</f>
        <v>100871751.74043433</v>
      </c>
      <c r="H39" s="96">
        <f>'6.Cons Profit &amp; Loss'!G25</f>
        <v>112785330.00984676</v>
      </c>
      <c r="I39" s="96">
        <f>'6.Cons Profit &amp; Loss'!H25</f>
        <v>125638086.72684935</v>
      </c>
    </row>
    <row r="40" spans="2:9">
      <c r="B40" s="95"/>
      <c r="C40" s="96"/>
      <c r="D40" s="96"/>
      <c r="E40" s="96"/>
      <c r="F40" s="96"/>
      <c r="G40" s="96"/>
      <c r="H40" s="96"/>
      <c r="I40" s="96"/>
    </row>
    <row r="41" spans="2:9">
      <c r="B41" s="97" t="s">
        <v>39</v>
      </c>
      <c r="C41" s="115">
        <f>C37-C39</f>
        <v>10619936.433599994</v>
      </c>
      <c r="D41" s="115">
        <f t="shared" ref="D41:I41" si="5">D37-D39</f>
        <v>13225924.27767998</v>
      </c>
      <c r="E41" s="115">
        <f t="shared" si="5"/>
        <v>15217649.11115402</v>
      </c>
      <c r="F41" s="115">
        <f t="shared" si="5"/>
        <v>17375481.617281199</v>
      </c>
      <c r="G41" s="115">
        <f t="shared" si="5"/>
        <v>19711053.251243249</v>
      </c>
      <c r="H41" s="115">
        <f t="shared" si="5"/>
        <v>22060616.48893328</v>
      </c>
      <c r="I41" s="115">
        <f t="shared" si="5"/>
        <v>24595858.417264193</v>
      </c>
    </row>
    <row r="42" spans="2:9">
      <c r="B42" s="95"/>
      <c r="C42" s="96"/>
      <c r="D42" s="96"/>
      <c r="E42" s="96"/>
      <c r="F42" s="96"/>
      <c r="G42" s="96"/>
      <c r="H42" s="96"/>
      <c r="I42" s="96"/>
    </row>
    <row r="43" spans="2:9">
      <c r="B43" s="97" t="s">
        <v>41</v>
      </c>
      <c r="C43" s="115">
        <f>'6.Cons Profit &amp; Loss'!B36+'6.Cons Profit &amp; Loss'!B42+'6.Cons Profit &amp; Loss'!B43</f>
        <v>6341904.1676999992</v>
      </c>
      <c r="D43" s="115">
        <f>'6.Cons Profit &amp; Loss'!C36+'6.Cons Profit &amp; Loss'!C42+'6.Cons Profit &amp; Loss'!C43</f>
        <v>6586956.6676999992</v>
      </c>
      <c r="E43" s="115">
        <f>'6.Cons Profit &amp; Loss'!D36+'6.Cons Profit &amp; Loss'!D42+'6.Cons Profit &amp; Loss'!D43</f>
        <v>6844561.7926999992</v>
      </c>
      <c r="F43" s="115">
        <f>'6.Cons Profit &amp; Loss'!E36+'6.Cons Profit &amp; Loss'!E42+'6.Cons Profit &amp; Loss'!E43</f>
        <v>7115377.1739500007</v>
      </c>
      <c r="G43" s="115">
        <f>'6.Cons Profit &amp; Loss'!F36+'6.Cons Profit &amp; Loss'!F42+'6.Cons Profit &amp; Loss'!F43</f>
        <v>7400096.3242625007</v>
      </c>
      <c r="H43" s="115">
        <f>'6.Cons Profit &amp; Loss'!G36+'6.Cons Profit &amp; Loss'!G42+'6.Cons Profit &amp; Loss'!G43</f>
        <v>7384041.932090627</v>
      </c>
      <c r="I43" s="115">
        <f>'6.Cons Profit &amp; Loss'!H36+'6.Cons Profit &amp; Loss'!H42+'6.Cons Profit &amp; Loss'!H43</f>
        <v>6975151.6443726569</v>
      </c>
    </row>
    <row r="44" spans="2:9">
      <c r="B44" s="95"/>
      <c r="C44" s="95"/>
      <c r="D44" s="95"/>
      <c r="E44" s="95"/>
      <c r="F44" s="95"/>
      <c r="G44" s="95"/>
      <c r="H44" s="95"/>
      <c r="I44" s="95"/>
    </row>
    <row r="45" spans="2:9">
      <c r="B45" s="95" t="s">
        <v>40</v>
      </c>
      <c r="C45" s="114">
        <f>C43/C41</f>
        <v>0.59716969186699664</v>
      </c>
      <c r="D45" s="114">
        <f>D43/D41</f>
        <v>0.49803375018682988</v>
      </c>
      <c r="E45" s="114">
        <f>E43/E41</f>
        <v>0.44977786928226438</v>
      </c>
      <c r="F45" s="114">
        <f>F43/F41</f>
        <v>0.40950675962116834</v>
      </c>
      <c r="G45" s="114">
        <f>G43/G41</f>
        <v>0.37542876222485722</v>
      </c>
      <c r="H45" s="114">
        <f t="shared" ref="H45:I45" si="6">H43/H41</f>
        <v>0.33471602825763441</v>
      </c>
      <c r="I45" s="114">
        <f t="shared" si="6"/>
        <v>0.28359049422225879</v>
      </c>
    </row>
    <row r="46" spans="2:9">
      <c r="B46" s="94"/>
      <c r="C46" s="94"/>
      <c r="D46" s="94"/>
      <c r="E46" s="94"/>
      <c r="F46" s="94"/>
      <c r="G46" s="94"/>
      <c r="H46" s="94"/>
      <c r="I46" s="94"/>
    </row>
    <row r="47" spans="2:9">
      <c r="B47" s="116" t="s">
        <v>134</v>
      </c>
      <c r="C47" s="117">
        <f>AVERAGE(C45:I45)</f>
        <v>0.4211747650945728</v>
      </c>
      <c r="D47" s="94"/>
      <c r="E47" s="94"/>
      <c r="F47" s="94"/>
      <c r="G47" s="94"/>
      <c r="H47" s="94"/>
      <c r="I47" s="94"/>
    </row>
    <row r="49" spans="2:10" ht="41.45" customHeight="1">
      <c r="B49" s="484" t="s">
        <v>437</v>
      </c>
      <c r="C49" s="484"/>
      <c r="D49" s="484"/>
      <c r="E49" s="484"/>
      <c r="F49" s="484"/>
      <c r="G49" s="484"/>
      <c r="H49" s="484"/>
      <c r="I49" s="484"/>
      <c r="J49" s="484"/>
    </row>
    <row r="52" spans="2:10" ht="18.75">
      <c r="B52" s="438" t="s">
        <v>587</v>
      </c>
      <c r="C52" s="438"/>
      <c r="D52" s="438"/>
      <c r="E52" s="438"/>
      <c r="F52" s="438"/>
      <c r="G52" s="438"/>
      <c r="H52" s="438"/>
      <c r="I52" s="438"/>
    </row>
    <row r="54" spans="2:10">
      <c r="B54" s="82" t="s">
        <v>29</v>
      </c>
      <c r="C54" s="83" t="s">
        <v>2</v>
      </c>
      <c r="D54" s="83" t="s">
        <v>3</v>
      </c>
      <c r="E54" s="83" t="s">
        <v>4</v>
      </c>
      <c r="F54" s="83" t="s">
        <v>5</v>
      </c>
      <c r="G54" s="83" t="s">
        <v>6</v>
      </c>
      <c r="H54" s="83" t="s">
        <v>171</v>
      </c>
      <c r="I54" s="83" t="s">
        <v>170</v>
      </c>
    </row>
    <row r="55" spans="2:10">
      <c r="B55" s="95"/>
      <c r="C55" s="95"/>
      <c r="D55" s="95"/>
      <c r="E55" s="95"/>
      <c r="F55" s="95"/>
      <c r="G55" s="95"/>
      <c r="H55" s="95"/>
      <c r="I55" s="95"/>
    </row>
    <row r="56" spans="2:10">
      <c r="B56" s="95" t="s">
        <v>384</v>
      </c>
      <c r="C56" s="326">
        <f>'6.Cons Profit &amp; Loss'!B51</f>
        <v>2731448.713748937</v>
      </c>
      <c r="D56" s="326">
        <f>'6.Cons Profit &amp; Loss'!C51</f>
        <v>4283408.7347564679</v>
      </c>
      <c r="E56" s="326">
        <f>'6.Cons Profit &amp; Loss'!D51</f>
        <v>5503969.9306792598</v>
      </c>
      <c r="F56" s="326">
        <f>'6.Cons Profit &amp; Loss'!E51</f>
        <v>6854256.7366172988</v>
      </c>
      <c r="G56" s="326">
        <f>'6.Cons Profit &amp; Loss'!F51</f>
        <v>8342184.8288916349</v>
      </c>
      <c r="H56" s="326">
        <f>'6.Cons Profit &amp; Loss'!G51</f>
        <v>10080181.57348259</v>
      </c>
      <c r="I56" s="326">
        <f>'6.Cons Profit &amp; Loss'!H51</f>
        <v>12263339.810406484</v>
      </c>
    </row>
    <row r="57" spans="2:10">
      <c r="B57" s="95"/>
      <c r="C57" s="326"/>
      <c r="D57" s="326"/>
      <c r="E57" s="326"/>
      <c r="F57" s="326"/>
      <c r="G57" s="326"/>
      <c r="H57" s="326"/>
      <c r="I57" s="326"/>
    </row>
    <row r="58" spans="2:10">
      <c r="B58" s="95" t="s">
        <v>42</v>
      </c>
      <c r="C58" s="326">
        <f>'6.Cons Profit &amp; Loss'!B42</f>
        <v>1185445.3676999998</v>
      </c>
      <c r="D58" s="326">
        <f>'6.Cons Profit &amp; Loss'!C42</f>
        <v>1185445.3676999998</v>
      </c>
      <c r="E58" s="326">
        <f>'6.Cons Profit &amp; Loss'!D42</f>
        <v>1185445.3676999998</v>
      </c>
      <c r="F58" s="326">
        <f>'6.Cons Profit &amp; Loss'!E42</f>
        <v>1185445.3676999998</v>
      </c>
      <c r="G58" s="326">
        <f>'6.Cons Profit &amp; Loss'!F42</f>
        <v>1185445.3676999998</v>
      </c>
      <c r="H58" s="326">
        <f>'6.Cons Profit &amp; Loss'!G42</f>
        <v>1185445.3676999998</v>
      </c>
      <c r="I58" s="326">
        <f>'6.Cons Profit &amp; Loss'!H42</f>
        <v>1185445.3676999998</v>
      </c>
    </row>
    <row r="59" spans="2:10">
      <c r="B59" s="109" t="s">
        <v>48</v>
      </c>
      <c r="C59" s="326">
        <f>'6.Cons Profit &amp; Loss'!B43</f>
        <v>315408.8</v>
      </c>
      <c r="D59" s="326">
        <f>'6.Cons Profit &amp; Loss'!C43</f>
        <v>315408.8</v>
      </c>
      <c r="E59" s="326">
        <f>'6.Cons Profit &amp; Loss'!D43</f>
        <v>315408.8</v>
      </c>
      <c r="F59" s="326">
        <f>'6.Cons Profit &amp; Loss'!E43</f>
        <v>315408.8</v>
      </c>
      <c r="G59" s="326">
        <f>'6.Cons Profit &amp; Loss'!F43</f>
        <v>315408.8</v>
      </c>
      <c r="H59" s="326">
        <f>'6.Cons Profit &amp; Loss'!G43</f>
        <v>0</v>
      </c>
      <c r="I59" s="326">
        <f>'6.Cons Profit &amp; Loss'!H43</f>
        <v>0</v>
      </c>
    </row>
    <row r="60" spans="2:10">
      <c r="B60" s="95"/>
      <c r="C60" s="326"/>
      <c r="D60" s="326"/>
      <c r="E60" s="326"/>
      <c r="F60" s="326"/>
      <c r="G60" s="326"/>
      <c r="H60" s="326"/>
      <c r="I60" s="326"/>
    </row>
    <row r="61" spans="2:10">
      <c r="B61" s="95" t="s">
        <v>32</v>
      </c>
      <c r="C61" s="326">
        <f>SUM(C56:C59)</f>
        <v>4232302.8814489366</v>
      </c>
      <c r="D61" s="326">
        <f t="shared" ref="D61:I61" si="7">SUM(D56:D59)</f>
        <v>5784262.902456467</v>
      </c>
      <c r="E61" s="326">
        <f t="shared" si="7"/>
        <v>7004824.098379259</v>
      </c>
      <c r="F61" s="326">
        <f t="shared" si="7"/>
        <v>8355110.904317298</v>
      </c>
      <c r="G61" s="326">
        <f t="shared" si="7"/>
        <v>9843038.996591635</v>
      </c>
      <c r="H61" s="326">
        <f t="shared" si="7"/>
        <v>11265626.941182589</v>
      </c>
      <c r="I61" s="326">
        <f t="shared" si="7"/>
        <v>13448785.178106483</v>
      </c>
    </row>
    <row r="62" spans="2:10">
      <c r="B62" s="95"/>
      <c r="C62" s="95"/>
      <c r="D62" s="95"/>
      <c r="E62" s="95"/>
      <c r="F62" s="95"/>
      <c r="G62" s="95"/>
      <c r="H62" s="95"/>
      <c r="I62" s="95"/>
    </row>
    <row r="63" spans="2:10" ht="16.5">
      <c r="B63" s="11" t="s">
        <v>43</v>
      </c>
      <c r="C63" s="110">
        <f>1/1.1</f>
        <v>0.90909090909090906</v>
      </c>
      <c r="D63" s="110">
        <f t="shared" ref="D63:I63" si="8">C63/1.1</f>
        <v>0.82644628099173545</v>
      </c>
      <c r="E63" s="110">
        <f t="shared" si="8"/>
        <v>0.75131480090157765</v>
      </c>
      <c r="F63" s="110">
        <f t="shared" si="8"/>
        <v>0.68301345536507052</v>
      </c>
      <c r="G63" s="110">
        <f t="shared" si="8"/>
        <v>0.62092132305915493</v>
      </c>
      <c r="H63" s="110">
        <f t="shared" si="8"/>
        <v>0.56447393005377711</v>
      </c>
      <c r="I63" s="110">
        <f t="shared" si="8"/>
        <v>0.51315811823070645</v>
      </c>
    </row>
    <row r="64" spans="2:10">
      <c r="B64" s="95"/>
      <c r="C64" s="95"/>
      <c r="D64" s="95"/>
      <c r="E64" s="95"/>
      <c r="F64" s="95"/>
      <c r="G64" s="95"/>
      <c r="H64" s="95"/>
      <c r="I64" s="95"/>
    </row>
    <row r="65" spans="2:10" ht="16.5">
      <c r="B65" s="11" t="s">
        <v>44</v>
      </c>
      <c r="C65" s="96">
        <f>C61*C63</f>
        <v>3847548.0740444879</v>
      </c>
      <c r="D65" s="96">
        <f t="shared" ref="D65:I65" si="9">D61*D63</f>
        <v>4780382.5640136087</v>
      </c>
      <c r="E65" s="96">
        <f t="shared" si="9"/>
        <v>5262828.0228243861</v>
      </c>
      <c r="F65" s="96">
        <f t="shared" si="9"/>
        <v>5706653.1687161364</v>
      </c>
      <c r="G65" s="96">
        <f t="shared" si="9"/>
        <v>6111752.7966865348</v>
      </c>
      <c r="H65" s="96">
        <f t="shared" si="9"/>
        <v>6359152.7140090475</v>
      </c>
      <c r="I65" s="96">
        <f t="shared" si="9"/>
        <v>6901353.294486139</v>
      </c>
    </row>
    <row r="66" spans="2:10">
      <c r="B66" s="94"/>
      <c r="C66" s="112"/>
      <c r="D66" s="112"/>
      <c r="E66" s="112"/>
      <c r="F66" s="112"/>
      <c r="G66" s="112"/>
      <c r="H66" s="112"/>
      <c r="I66" s="112"/>
    </row>
    <row r="67" spans="2:10" ht="16.5">
      <c r="B67" s="12" t="s">
        <v>45</v>
      </c>
      <c r="C67" s="112">
        <f>SUM(C65:I65)</f>
        <v>38969670.63478034</v>
      </c>
      <c r="D67" s="112"/>
      <c r="E67" s="112"/>
      <c r="F67" s="112"/>
      <c r="G67" s="112"/>
      <c r="H67" s="112"/>
      <c r="I67" s="112"/>
    </row>
    <row r="68" spans="2:10">
      <c r="B68" s="94"/>
      <c r="C68" s="112"/>
      <c r="D68" s="112"/>
      <c r="E68" s="112"/>
      <c r="F68" s="112"/>
      <c r="G68" s="112"/>
      <c r="H68" s="112"/>
      <c r="I68" s="112"/>
    </row>
    <row r="69" spans="2:10" ht="16.5">
      <c r="B69" s="12" t="s">
        <v>46</v>
      </c>
      <c r="C69" s="112">
        <f>'1.Project Cost and MOF'!D12</f>
        <v>34226101.954615891</v>
      </c>
      <c r="D69" s="112"/>
      <c r="E69" s="112"/>
      <c r="F69" s="112"/>
      <c r="G69" s="112"/>
      <c r="H69" s="112"/>
      <c r="I69" s="112"/>
    </row>
    <row r="70" spans="2:10">
      <c r="B70" s="94"/>
      <c r="C70" s="111"/>
      <c r="D70" s="94"/>
      <c r="E70" s="94"/>
      <c r="F70" s="94"/>
      <c r="G70" s="94"/>
      <c r="H70" s="94"/>
      <c r="I70" s="94"/>
    </row>
    <row r="71" spans="2:10" ht="16.5">
      <c r="B71" s="12" t="s">
        <v>47</v>
      </c>
      <c r="C71" s="111">
        <f>C67-C69</f>
        <v>4743568.6801644489</v>
      </c>
      <c r="D71" s="94"/>
      <c r="E71" s="94"/>
      <c r="F71" s="94"/>
      <c r="G71" s="94"/>
      <c r="H71" s="94"/>
      <c r="I71" s="94"/>
    </row>
    <row r="73" spans="2:10" ht="35.1" customHeight="1">
      <c r="B73" s="443" t="s">
        <v>438</v>
      </c>
      <c r="C73" s="443"/>
      <c r="D73" s="443"/>
      <c r="E73" s="443"/>
      <c r="F73" s="443"/>
      <c r="G73" s="443"/>
      <c r="H73" s="443"/>
      <c r="I73" s="443"/>
      <c r="J73" s="443"/>
    </row>
    <row r="74" spans="2:10" ht="18.75">
      <c r="B74" s="438" t="s">
        <v>588</v>
      </c>
      <c r="C74" s="438"/>
      <c r="D74" s="438"/>
      <c r="E74" s="438"/>
      <c r="F74" s="438"/>
      <c r="G74" s="438"/>
      <c r="H74" s="438"/>
      <c r="I74" s="438"/>
    </row>
    <row r="75" spans="2:10">
      <c r="B75" s="94"/>
      <c r="C75" s="94"/>
      <c r="D75" s="94"/>
      <c r="E75" s="94"/>
      <c r="F75" s="94"/>
      <c r="G75" s="94"/>
      <c r="H75" s="94"/>
      <c r="I75" s="94"/>
    </row>
    <row r="76" spans="2:10" ht="15.75">
      <c r="B76" s="72" t="s">
        <v>0</v>
      </c>
      <c r="C76" s="72" t="s">
        <v>2</v>
      </c>
      <c r="D76" s="72" t="s">
        <v>3</v>
      </c>
      <c r="E76" s="72" t="s">
        <v>4</v>
      </c>
      <c r="F76" s="72" t="s">
        <v>5</v>
      </c>
      <c r="G76" s="72" t="s">
        <v>6</v>
      </c>
      <c r="H76" s="72" t="s">
        <v>171</v>
      </c>
      <c r="I76" s="72" t="s">
        <v>170</v>
      </c>
    </row>
    <row r="77" spans="2:10" ht="15.75">
      <c r="B77" s="69"/>
      <c r="C77" s="70"/>
      <c r="D77" s="70"/>
      <c r="E77" s="70"/>
      <c r="F77" s="70"/>
      <c r="G77" s="70"/>
      <c r="H77" s="70"/>
      <c r="I77" s="70"/>
    </row>
    <row r="78" spans="2:10">
      <c r="B78" s="97" t="s">
        <v>27</v>
      </c>
      <c r="C78" s="96">
        <f>'6.Cons Profit &amp; Loss'!B51</f>
        <v>2731448.713748937</v>
      </c>
      <c r="D78" s="96">
        <f>'6.Cons Profit &amp; Loss'!C51</f>
        <v>4283408.7347564679</v>
      </c>
      <c r="E78" s="96">
        <f>'6.Cons Profit &amp; Loss'!D51</f>
        <v>5503969.9306792598</v>
      </c>
      <c r="F78" s="96">
        <f>'6.Cons Profit &amp; Loss'!E51</f>
        <v>6854256.7366172988</v>
      </c>
      <c r="G78" s="96">
        <f>'6.Cons Profit &amp; Loss'!F51</f>
        <v>8342184.8288916349</v>
      </c>
      <c r="H78" s="96">
        <f>'6.Cons Profit &amp; Loss'!G51</f>
        <v>10080181.57348259</v>
      </c>
      <c r="I78" s="96">
        <f>'6.Cons Profit &amp; Loss'!H51</f>
        <v>12263339.810406484</v>
      </c>
    </row>
    <row r="79" spans="2:10">
      <c r="B79" s="95"/>
      <c r="C79" s="95"/>
      <c r="D79" s="95"/>
      <c r="E79" s="95"/>
      <c r="F79" s="95"/>
      <c r="G79" s="95"/>
      <c r="H79" s="95"/>
      <c r="I79" s="95"/>
    </row>
    <row r="80" spans="2:10">
      <c r="B80" s="97" t="s">
        <v>124</v>
      </c>
      <c r="C80" s="480">
        <f>AVERAGE(C78:I78)</f>
        <v>7151255.7612260962</v>
      </c>
      <c r="D80" s="480"/>
      <c r="E80" s="480"/>
      <c r="F80" s="480"/>
      <c r="G80" s="480"/>
      <c r="H80" s="480"/>
      <c r="I80" s="480"/>
    </row>
    <row r="81" spans="2:10">
      <c r="B81" s="97" t="s">
        <v>125</v>
      </c>
      <c r="C81" s="480">
        <f>'1.Project Cost and MOF'!D12</f>
        <v>34226101.954615891</v>
      </c>
      <c r="D81" s="480"/>
      <c r="E81" s="480"/>
      <c r="F81" s="480"/>
      <c r="G81" s="480"/>
      <c r="H81" s="480"/>
      <c r="I81" s="480"/>
    </row>
    <row r="82" spans="2:10">
      <c r="B82" s="95"/>
      <c r="C82" s="95"/>
      <c r="D82" s="95"/>
      <c r="E82" s="95"/>
      <c r="F82" s="95"/>
      <c r="G82" s="95"/>
      <c r="H82" s="95"/>
      <c r="I82" s="95"/>
    </row>
    <row r="83" spans="2:10">
      <c r="B83" s="257" t="s">
        <v>126</v>
      </c>
      <c r="C83" s="481">
        <f>C80/C81</f>
        <v>0.20894157829333657</v>
      </c>
      <c r="D83" s="481"/>
      <c r="E83" s="481"/>
      <c r="F83" s="481"/>
      <c r="G83" s="481"/>
      <c r="H83" s="481"/>
      <c r="I83" s="481"/>
    </row>
    <row r="86" spans="2:10">
      <c r="B86" s="479" t="s">
        <v>439</v>
      </c>
      <c r="C86" s="479"/>
      <c r="D86" s="479"/>
      <c r="E86" s="479"/>
      <c r="F86" s="479"/>
      <c r="G86" s="479"/>
      <c r="H86" s="479"/>
      <c r="I86" s="479"/>
    </row>
    <row r="88" spans="2:10" ht="18.75">
      <c r="B88" s="438" t="s">
        <v>589</v>
      </c>
      <c r="C88" s="438"/>
      <c r="D88" s="438"/>
      <c r="E88" s="438"/>
      <c r="F88" s="438"/>
      <c r="G88" s="438"/>
      <c r="H88" s="438"/>
      <c r="I88" s="438"/>
      <c r="J88" s="438"/>
    </row>
    <row r="90" spans="2:10">
      <c r="B90" s="104" t="s">
        <v>0</v>
      </c>
      <c r="C90" s="104" t="s">
        <v>342</v>
      </c>
      <c r="D90" s="104" t="s">
        <v>2</v>
      </c>
      <c r="E90" s="104" t="s">
        <v>3</v>
      </c>
      <c r="F90" s="104" t="s">
        <v>4</v>
      </c>
      <c r="G90" s="104" t="s">
        <v>5</v>
      </c>
      <c r="H90" s="104" t="s">
        <v>6</v>
      </c>
      <c r="I90" s="104" t="s">
        <v>171</v>
      </c>
      <c r="J90" s="104" t="s">
        <v>170</v>
      </c>
    </row>
    <row r="91" spans="2:10">
      <c r="B91" s="105"/>
      <c r="C91" s="105"/>
      <c r="D91" s="106"/>
      <c r="E91" s="106"/>
      <c r="F91" s="106"/>
      <c r="G91" s="106"/>
      <c r="H91" s="106"/>
      <c r="I91" s="106"/>
      <c r="J91" s="106"/>
    </row>
    <row r="92" spans="2:10">
      <c r="B92" s="24" t="s">
        <v>284</v>
      </c>
      <c r="C92" s="107">
        <f>'1.Project Cost and MOF'!D12</f>
        <v>34226101.954615891</v>
      </c>
      <c r="D92" s="106"/>
      <c r="E92" s="106"/>
      <c r="F92" s="106"/>
      <c r="G92" s="106"/>
      <c r="H92" s="106"/>
      <c r="I92" s="106"/>
      <c r="J92" s="106"/>
    </row>
    <row r="93" spans="2:10">
      <c r="B93" s="25" t="str">
        <f>B56</f>
        <v>Profit after Tax &amp; Dividend</v>
      </c>
      <c r="C93" s="25"/>
      <c r="D93" s="26">
        <f>'6.Cons Profit &amp; Loss'!B51</f>
        <v>2731448.713748937</v>
      </c>
      <c r="E93" s="26">
        <f>'6.Cons Profit &amp; Loss'!C51</f>
        <v>4283408.7347564679</v>
      </c>
      <c r="F93" s="26">
        <f>'6.Cons Profit &amp; Loss'!D51</f>
        <v>5503969.9306792598</v>
      </c>
      <c r="G93" s="26">
        <f>'6.Cons Profit &amp; Loss'!E51</f>
        <v>6854256.7366172988</v>
      </c>
      <c r="H93" s="26">
        <f>'6.Cons Profit &amp; Loss'!F51</f>
        <v>8342184.8288916349</v>
      </c>
      <c r="I93" s="26">
        <f>'6.Cons Profit &amp; Loss'!G51</f>
        <v>10080181.57348259</v>
      </c>
      <c r="J93" s="26">
        <f>'6.Cons Profit &amp; Loss'!H51</f>
        <v>12263339.810406484</v>
      </c>
    </row>
    <row r="94" spans="2:10">
      <c r="B94" s="25" t="str">
        <f>B58</f>
        <v>Add: Deprication</v>
      </c>
      <c r="C94" s="25"/>
      <c r="D94" s="92">
        <f>'6.Cons Profit &amp; Loss'!B42</f>
        <v>1185445.3676999998</v>
      </c>
      <c r="E94" s="92">
        <f>'6.Cons Profit &amp; Loss'!C42</f>
        <v>1185445.3676999998</v>
      </c>
      <c r="F94" s="92">
        <f>'6.Cons Profit &amp; Loss'!D42</f>
        <v>1185445.3676999998</v>
      </c>
      <c r="G94" s="92">
        <f>'6.Cons Profit &amp; Loss'!E42</f>
        <v>1185445.3676999998</v>
      </c>
      <c r="H94" s="92">
        <f>'6.Cons Profit &amp; Loss'!F42</f>
        <v>1185445.3676999998</v>
      </c>
      <c r="I94" s="92">
        <f>'6.Cons Profit &amp; Loss'!G42</f>
        <v>1185445.3676999998</v>
      </c>
      <c r="J94" s="92">
        <f>'6.Cons Profit &amp; Loss'!H42</f>
        <v>1185445.3676999998</v>
      </c>
    </row>
    <row r="95" spans="2:10">
      <c r="B95" s="25" t="str">
        <f>B59</f>
        <v>Add. Preliminary exp Written off</v>
      </c>
      <c r="C95" s="25"/>
      <c r="D95" s="92">
        <f>'6.Cons Profit &amp; Loss'!B43</f>
        <v>315408.8</v>
      </c>
      <c r="E95" s="92">
        <f>'6.Cons Profit &amp; Loss'!C43</f>
        <v>315408.8</v>
      </c>
      <c r="F95" s="92">
        <f>'6.Cons Profit &amp; Loss'!D43</f>
        <v>315408.8</v>
      </c>
      <c r="G95" s="92">
        <f>'6.Cons Profit &amp; Loss'!E43</f>
        <v>315408.8</v>
      </c>
      <c r="H95" s="92">
        <f>'6.Cons Profit &amp; Loss'!F43</f>
        <v>315408.8</v>
      </c>
      <c r="I95" s="92">
        <f>'6.Cons Profit &amp; Loss'!G43</f>
        <v>0</v>
      </c>
      <c r="J95" s="92">
        <f>'6.Cons Profit &amp; Loss'!H43</f>
        <v>0</v>
      </c>
    </row>
    <row r="96" spans="2:10">
      <c r="B96" s="25" t="str">
        <f>B61</f>
        <v xml:space="preserve">Net Cash Accrual (A)      </v>
      </c>
      <c r="C96" s="25"/>
      <c r="D96" s="256">
        <f>SUM(D93:D95)</f>
        <v>4232302.8814489366</v>
      </c>
      <c r="E96" s="256">
        <f t="shared" ref="E96:J96" si="10">SUM(E93:E95)</f>
        <v>5784262.902456467</v>
      </c>
      <c r="F96" s="256">
        <f t="shared" si="10"/>
        <v>7004824.098379259</v>
      </c>
      <c r="G96" s="256">
        <f t="shared" si="10"/>
        <v>8355110.904317298</v>
      </c>
      <c r="H96" s="256">
        <f t="shared" si="10"/>
        <v>9843038.996591635</v>
      </c>
      <c r="I96" s="256">
        <f t="shared" si="10"/>
        <v>11265626.941182589</v>
      </c>
      <c r="J96" s="256">
        <f t="shared" si="10"/>
        <v>13448785.178106483</v>
      </c>
    </row>
    <row r="97" spans="2:10">
      <c r="B97" s="24" t="s">
        <v>285</v>
      </c>
      <c r="C97" s="108"/>
      <c r="D97" s="71">
        <f>D96-C92</f>
        <v>-29993799.073166955</v>
      </c>
      <c r="E97" s="71">
        <f>D97+E96</f>
        <v>-24209536.170710489</v>
      </c>
      <c r="F97" s="71">
        <f>E97+F96</f>
        <v>-17204712.072331231</v>
      </c>
      <c r="G97" s="71">
        <f>F97+G96</f>
        <v>-8849601.168013934</v>
      </c>
      <c r="H97" s="71">
        <f>G97+H96</f>
        <v>993437.828577701</v>
      </c>
      <c r="I97" s="93"/>
      <c r="J97" s="93"/>
    </row>
    <row r="98" spans="2:10">
      <c r="B98" s="7"/>
      <c r="C98" s="7"/>
      <c r="D98" s="7"/>
      <c r="E98" s="7"/>
      <c r="F98" s="7"/>
      <c r="G98" s="7"/>
      <c r="H98" s="7"/>
      <c r="I98" s="7"/>
      <c r="J98" s="7"/>
    </row>
    <row r="99" spans="2:10">
      <c r="B99" s="27" t="s">
        <v>286</v>
      </c>
      <c r="C99" s="7"/>
      <c r="D99" s="64">
        <f>4+(-G97/H96)</f>
        <v>4.8990720417828584</v>
      </c>
      <c r="E99" s="7"/>
      <c r="F99" s="7"/>
      <c r="G99" s="7"/>
      <c r="H99" s="7"/>
      <c r="I99" s="7"/>
      <c r="J99" s="7"/>
    </row>
    <row r="100" spans="2:10">
      <c r="B100" s="7"/>
      <c r="C100" s="7"/>
      <c r="D100" s="7"/>
      <c r="E100" s="7"/>
      <c r="F100" s="7"/>
      <c r="G100" s="7"/>
      <c r="H100" s="7"/>
      <c r="I100" s="7"/>
      <c r="J100" s="7"/>
    </row>
    <row r="101" spans="2:10">
      <c r="B101" s="479" t="s">
        <v>440</v>
      </c>
      <c r="C101" s="479"/>
      <c r="D101" s="479"/>
      <c r="E101" s="479"/>
      <c r="F101" s="479"/>
      <c r="G101" s="479"/>
      <c r="H101" s="479"/>
      <c r="I101" s="479"/>
      <c r="J101" s="479"/>
    </row>
    <row r="103" spans="2:10" ht="18.75">
      <c r="B103" s="438" t="s">
        <v>590</v>
      </c>
      <c r="C103" s="438"/>
      <c r="D103" s="438"/>
      <c r="E103" s="438"/>
      <c r="F103" s="438"/>
      <c r="G103" s="438"/>
      <c r="H103" s="438"/>
      <c r="I103" s="438"/>
    </row>
    <row r="105" spans="2:10" ht="15.75">
      <c r="B105" s="72" t="s">
        <v>0</v>
      </c>
      <c r="C105" s="72" t="s">
        <v>2</v>
      </c>
      <c r="D105" s="72" t="s">
        <v>3</v>
      </c>
      <c r="E105" s="72" t="s">
        <v>4</v>
      </c>
      <c r="F105" s="72" t="s">
        <v>5</v>
      </c>
      <c r="G105" s="72" t="s">
        <v>6</v>
      </c>
      <c r="H105" s="72" t="s">
        <v>171</v>
      </c>
      <c r="I105" s="72" t="s">
        <v>170</v>
      </c>
    </row>
    <row r="106" spans="2:10" ht="15.75">
      <c r="B106" s="69"/>
      <c r="C106" s="70"/>
      <c r="D106" s="70"/>
      <c r="E106" s="70"/>
      <c r="F106" s="70"/>
      <c r="G106" s="70"/>
      <c r="H106" s="70"/>
      <c r="I106" s="70"/>
    </row>
    <row r="107" spans="2:10">
      <c r="B107" s="95" t="s">
        <v>345</v>
      </c>
      <c r="C107" s="96">
        <f>'6.Cons Profit &amp; Loss'!B40</f>
        <v>5778886.4335999936</v>
      </c>
      <c r="D107" s="96">
        <f>'6.Cons Profit &amp; Loss'!C40</f>
        <v>8139821.7776799798</v>
      </c>
      <c r="E107" s="96">
        <f>'6.Cons Profit &amp; Loss'!D40</f>
        <v>9873941.4861540198</v>
      </c>
      <c r="F107" s="96">
        <f>'6.Cons Profit &amp; Loss'!E40</f>
        <v>11760958.611031204</v>
      </c>
      <c r="G107" s="96">
        <f>'6.Cons Profit &amp; Loss'!F40</f>
        <v>13811811.094680741</v>
      </c>
      <c r="H107" s="96">
        <f>'6.Cons Profit &amp; Loss'!G40</f>
        <v>15862019.924542651</v>
      </c>
      <c r="I107" s="96">
        <f>'6.Cons Profit &amp; Loss'!H40</f>
        <v>18806152.140591532</v>
      </c>
    </row>
    <row r="108" spans="2:10">
      <c r="B108" s="95" t="s">
        <v>355</v>
      </c>
      <c r="C108" s="96">
        <f>'6.Cons Profit &amp; Loss'!B42</f>
        <v>1185445.3676999998</v>
      </c>
      <c r="D108" s="96">
        <f>'6.Cons Profit &amp; Loss'!C42</f>
        <v>1185445.3676999998</v>
      </c>
      <c r="E108" s="96">
        <f>'6.Cons Profit &amp; Loss'!D42</f>
        <v>1185445.3676999998</v>
      </c>
      <c r="F108" s="96">
        <f>'6.Cons Profit &amp; Loss'!E42</f>
        <v>1185445.3676999998</v>
      </c>
      <c r="G108" s="96">
        <f>'6.Cons Profit &amp; Loss'!F42</f>
        <v>1185445.3676999998</v>
      </c>
      <c r="H108" s="96">
        <f>'6.Cons Profit &amp; Loss'!G42</f>
        <v>1185445.3676999998</v>
      </c>
      <c r="I108" s="96">
        <f>'6.Cons Profit &amp; Loss'!H42</f>
        <v>1185445.3676999998</v>
      </c>
    </row>
    <row r="109" spans="2:10">
      <c r="B109" s="95" t="s">
        <v>356</v>
      </c>
      <c r="C109" s="96">
        <f>'6.Cons Profit &amp; Loss'!B43</f>
        <v>315408.8</v>
      </c>
      <c r="D109" s="96">
        <f>'6.Cons Profit &amp; Loss'!C43</f>
        <v>315408.8</v>
      </c>
      <c r="E109" s="96">
        <f>'6.Cons Profit &amp; Loss'!D43</f>
        <v>315408.8</v>
      </c>
      <c r="F109" s="96">
        <f>'6.Cons Profit &amp; Loss'!E43</f>
        <v>315408.8</v>
      </c>
      <c r="G109" s="96">
        <f>'6.Cons Profit &amp; Loss'!F43</f>
        <v>315408.8</v>
      </c>
      <c r="H109" s="96">
        <f>'6.Cons Profit &amp; Loss'!G43</f>
        <v>0</v>
      </c>
      <c r="I109" s="96">
        <f>'6.Cons Profit &amp; Loss'!H43</f>
        <v>0</v>
      </c>
    </row>
    <row r="110" spans="2:10">
      <c r="B110" s="95" t="s">
        <v>357</v>
      </c>
      <c r="C110" s="96">
        <f>'8.Cash Flow '!C26</f>
        <v>982808.28743971034</v>
      </c>
      <c r="D110" s="96">
        <f>'8.Cash Flow '!D26</f>
        <v>890295.78386810177</v>
      </c>
      <c r="E110" s="96">
        <f>'8.Cash Flow '!E26</f>
        <v>769783.99193953595</v>
      </c>
      <c r="F110" s="96">
        <f>'8.Cash Flow '!F26</f>
        <v>633988.28836837213</v>
      </c>
      <c r="G110" s="96">
        <f>'8.Cash Flow '!G26</f>
        <v>480970.29060000344</v>
      </c>
      <c r="H110" s="96">
        <f>'8.Cash Flow '!H26</f>
        <v>308545.78065392794</v>
      </c>
      <c r="I110" s="96">
        <f>'8.Cash Flow '!I26</f>
        <v>114253.52703845121</v>
      </c>
    </row>
    <row r="111" spans="2:10">
      <c r="B111" s="97" t="s">
        <v>1</v>
      </c>
      <c r="C111" s="98">
        <f>SUM(C107:C110)</f>
        <v>8262548.8887397032</v>
      </c>
      <c r="D111" s="98">
        <f t="shared" ref="D111:I111" si="11">SUM(D107:D110)</f>
        <v>10530971.729248082</v>
      </c>
      <c r="E111" s="98">
        <f t="shared" si="11"/>
        <v>12144579.645793555</v>
      </c>
      <c r="F111" s="98">
        <f t="shared" si="11"/>
        <v>13895801.067099577</v>
      </c>
      <c r="G111" s="98">
        <f t="shared" si="11"/>
        <v>15793635.552980745</v>
      </c>
      <c r="H111" s="98">
        <f t="shared" si="11"/>
        <v>17356011.072896577</v>
      </c>
      <c r="I111" s="98">
        <f t="shared" si="11"/>
        <v>20105851.035329983</v>
      </c>
    </row>
    <row r="112" spans="2:10">
      <c r="B112" s="95"/>
      <c r="C112" s="95"/>
      <c r="D112" s="95"/>
      <c r="E112" s="95"/>
      <c r="F112" s="95"/>
      <c r="G112" s="95"/>
      <c r="H112" s="95"/>
      <c r="I112" s="95"/>
    </row>
    <row r="113" spans="2:18">
      <c r="B113" s="99" t="s">
        <v>287</v>
      </c>
      <c r="C113" s="100">
        <f>'8.Cash Flow '!C25+'8.Cash Flow '!C26</f>
        <v>1417027.2076852387</v>
      </c>
      <c r="D113" s="100">
        <f>'8.Cash Flow '!D25+'8.Cash Flow '!D26</f>
        <v>1840516.6653704778</v>
      </c>
      <c r="E113" s="100">
        <f>'8.Cash Flow '!E25+'8.Cash Flow '!E26</f>
        <v>1840516.6653704774</v>
      </c>
      <c r="F113" s="100">
        <f>'8.Cash Flow '!F25+'8.Cash Flow '!F26</f>
        <v>1840516.6653704778</v>
      </c>
      <c r="G113" s="100">
        <f>'8.Cash Flow '!G25+'8.Cash Flow '!G26</f>
        <v>1840516.6653704776</v>
      </c>
      <c r="H113" s="100">
        <f>'8.Cash Flow '!H25+'8.Cash Flow '!H26</f>
        <v>1840516.6653704774</v>
      </c>
      <c r="I113" s="100">
        <f>'8.Cash Flow '!I25+'8.Cash Flow '!I26</f>
        <v>1840516.6653704776</v>
      </c>
    </row>
    <row r="114" spans="2:18">
      <c r="B114" s="95"/>
      <c r="C114" s="95"/>
      <c r="D114" s="95"/>
      <c r="E114" s="95"/>
      <c r="F114" s="95"/>
      <c r="G114" s="95"/>
      <c r="H114" s="95"/>
      <c r="I114" s="95"/>
    </row>
    <row r="115" spans="2:18">
      <c r="B115" s="101" t="s">
        <v>343</v>
      </c>
      <c r="C115" s="102">
        <f>C111/C113</f>
        <v>5.8309034886047479</v>
      </c>
      <c r="D115" s="102">
        <f t="shared" ref="D115:I115" si="12">D111/D113</f>
        <v>5.7217475545804426</v>
      </c>
      <c r="E115" s="102">
        <f t="shared" si="12"/>
        <v>6.5984622004761766</v>
      </c>
      <c r="F115" s="102">
        <f t="shared" si="12"/>
        <v>7.5499457997586177</v>
      </c>
      <c r="G115" s="102">
        <f t="shared" si="12"/>
        <v>8.5810880445364752</v>
      </c>
      <c r="H115" s="102">
        <f t="shared" si="12"/>
        <v>9.4299668128258904</v>
      </c>
      <c r="I115" s="102">
        <f t="shared" si="12"/>
        <v>10.92402552697499</v>
      </c>
    </row>
    <row r="116" spans="2:18">
      <c r="B116" s="94"/>
      <c r="C116" s="94"/>
      <c r="D116" s="94"/>
      <c r="E116" s="94"/>
      <c r="F116" s="94"/>
      <c r="G116" s="94"/>
      <c r="H116" s="94"/>
      <c r="I116" s="94"/>
    </row>
    <row r="117" spans="2:18">
      <c r="B117" s="94" t="s">
        <v>344</v>
      </c>
      <c r="C117" s="103">
        <f>AVERAGE(C115:I115)</f>
        <v>7.8051627753939057</v>
      </c>
      <c r="D117" s="94"/>
      <c r="E117" s="94"/>
      <c r="F117" s="94"/>
      <c r="G117" s="94"/>
      <c r="H117" s="94"/>
      <c r="I117" s="94"/>
    </row>
    <row r="119" spans="2:18" ht="29.45" customHeight="1">
      <c r="B119" s="443" t="s">
        <v>441</v>
      </c>
      <c r="C119" s="443"/>
      <c r="D119" s="443"/>
      <c r="E119" s="443"/>
      <c r="F119" s="443"/>
      <c r="G119" s="443"/>
      <c r="H119" s="443"/>
      <c r="I119" s="443"/>
      <c r="J119" s="443"/>
    </row>
    <row r="121" spans="2:18" ht="21">
      <c r="B121" s="474" t="s">
        <v>591</v>
      </c>
      <c r="C121" s="475"/>
      <c r="D121" s="475"/>
      <c r="E121" s="475"/>
      <c r="F121" s="475"/>
      <c r="G121" s="475"/>
      <c r="H121" s="475"/>
      <c r="I121" s="475"/>
      <c r="K121" s="476"/>
      <c r="L121" s="476"/>
      <c r="M121" s="476"/>
      <c r="N121" s="476"/>
      <c r="O121" s="476"/>
      <c r="P121" s="476"/>
      <c r="Q121" s="476"/>
      <c r="R121" s="476"/>
    </row>
    <row r="122" spans="2:18">
      <c r="B122" s="82" t="s">
        <v>358</v>
      </c>
      <c r="C122" s="83" t="s">
        <v>2</v>
      </c>
      <c r="D122" s="83" t="s">
        <v>3</v>
      </c>
      <c r="E122" s="83" t="s">
        <v>4</v>
      </c>
      <c r="F122" s="83" t="s">
        <v>5</v>
      </c>
      <c r="G122" s="83" t="s">
        <v>6</v>
      </c>
      <c r="H122" s="83" t="s">
        <v>171</v>
      </c>
      <c r="I122" s="83" t="s">
        <v>170</v>
      </c>
    </row>
    <row r="123" spans="2:18">
      <c r="B123" s="74" t="str">
        <f>'6.Cons Profit &amp; Loss'!A8</f>
        <v>Faclitiy 1 - Cleaning &amp; Grading</v>
      </c>
      <c r="C123" s="323">
        <f>'6.Cons Profit &amp; Loss'!B8*(1+$M$124)</f>
        <v>17421267.401999999</v>
      </c>
      <c r="D123" s="323">
        <f>'6.Cons Profit &amp; Loss'!C8*(1+$M$124)</f>
        <v>21067222.15521</v>
      </c>
      <c r="E123" s="323">
        <f>'6.Cons Profit &amp; Loss'!D8*(1+$M$124)</f>
        <v>24140572.116160505</v>
      </c>
      <c r="F123" s="323">
        <f>'6.Cons Profit &amp; Loss'!E8*(1+$M$124)</f>
        <v>27468589.017818034</v>
      </c>
      <c r="G123" s="323">
        <f>'6.Cons Profit &amp; Loss'!F8*(1+$M$124)</f>
        <v>31069056.179350913</v>
      </c>
      <c r="H123" s="323">
        <f>'6.Cons Profit &amp; Loss'!G8*(1+$M$124)</f>
        <v>34960898.584492542</v>
      </c>
      <c r="I123" s="323">
        <f>'6.Cons Profit &amp; Loss'!H8*(1+$M$124)</f>
        <v>39164252.589699954</v>
      </c>
    </row>
    <row r="124" spans="2:18">
      <c r="B124" s="74" t="str">
        <f>'6.Cons Profit &amp; Loss'!A9</f>
        <v>Faclitiy 2 - Processing Unit- Dal Mill</v>
      </c>
      <c r="C124" s="323">
        <f>'6.Cons Profit &amp; Loss'!B9*(1+$M$124)</f>
        <v>1433013.12</v>
      </c>
      <c r="D124" s="323">
        <f>'6.Cons Profit &amp; Loss'!C9*(1+$M$124)</f>
        <v>2296114.1280000005</v>
      </c>
      <c r="E124" s="323">
        <f>'6.Cons Profit &amp; Loss'!D9*(1+$M$124)</f>
        <v>3221405.510400001</v>
      </c>
      <c r="F124" s="323">
        <f>'6.Cons Profit &amp; Loss'!E9*(1+$M$124)</f>
        <v>4233485.7457200019</v>
      </c>
      <c r="G124" s="323">
        <f>'6.Cons Profit &amp; Loss'!F9*(1+$M$124)</f>
        <v>5338720.4907960016</v>
      </c>
      <c r="H124" s="323">
        <f>'6.Cons Profit &amp; Loss'!G9*(1+$M$124)</f>
        <v>6543894.9960153019</v>
      </c>
      <c r="I124" s="323">
        <f>'6.Cons Profit &amp; Loss'!H9*(1+$M$124)</f>
        <v>7856240.150529542</v>
      </c>
      <c r="L124" s="5" t="s">
        <v>379</v>
      </c>
      <c r="M124" s="265">
        <v>0.05</v>
      </c>
    </row>
    <row r="125" spans="2:18">
      <c r="B125" s="74" t="str">
        <f>'6.Cons Profit &amp; Loss'!A10</f>
        <v>Faclitiy 3 - Warehouse</v>
      </c>
      <c r="C125" s="323">
        <f>'6.Cons Profit &amp; Loss'!B10*(1+$M$124)</f>
        <v>2318400</v>
      </c>
      <c r="D125" s="323">
        <f>'6.Cons Profit &amp; Loss'!C10*(1+$M$124)</f>
        <v>2586465.0000000005</v>
      </c>
      <c r="E125" s="323">
        <f>'6.Cons Profit &amp; Loss'!D10*(1+$M$124)</f>
        <v>2875540.5000000009</v>
      </c>
      <c r="F125" s="323">
        <f>'6.Cons Profit &amp; Loss'!E10*(1+$M$124)</f>
        <v>3187057.3875000016</v>
      </c>
      <c r="G125" s="323">
        <f>'6.Cons Profit &amp; Loss'!F10*(1+$M$124)</f>
        <v>3522537.1125000021</v>
      </c>
      <c r="H125" s="323">
        <f>'6.Cons Profit &amp; Loss'!G10*(1+$M$124)</f>
        <v>3698663.9681250025</v>
      </c>
      <c r="I125" s="323">
        <f>'6.Cons Profit &amp; Loss'!H10*(1+$M$124)</f>
        <v>3883597.1665312527</v>
      </c>
      <c r="L125" s="5" t="s">
        <v>380</v>
      </c>
      <c r="M125" s="265">
        <v>0.05</v>
      </c>
    </row>
    <row r="126" spans="2:18">
      <c r="B126" s="74" t="str">
        <f>'6.Cons Profit &amp; Loss'!A11</f>
        <v xml:space="preserve">Faclitiy 4 - Custom Hiring </v>
      </c>
      <c r="C126" s="323">
        <f>'6.Cons Profit &amp; Loss'!B11*(1+$M$124)</f>
        <v>0</v>
      </c>
      <c r="D126" s="323">
        <f>'6.Cons Profit &amp; Loss'!C11*(1+$M$124)</f>
        <v>0</v>
      </c>
      <c r="E126" s="323">
        <f>'6.Cons Profit &amp; Loss'!D11*(1+$M$124)</f>
        <v>0</v>
      </c>
      <c r="F126" s="323">
        <f>'6.Cons Profit &amp; Loss'!E11*(1+$M$124)</f>
        <v>0</v>
      </c>
      <c r="G126" s="323">
        <f>'6.Cons Profit &amp; Loss'!F11*(1+$M$124)</f>
        <v>0</v>
      </c>
      <c r="H126" s="323">
        <f>'6.Cons Profit &amp; Loss'!G11*(1+$M$124)</f>
        <v>0</v>
      </c>
      <c r="I126" s="323">
        <f>'6.Cons Profit &amp; Loss'!H11*(1+$M$124)</f>
        <v>0</v>
      </c>
    </row>
    <row r="127" spans="2:18">
      <c r="B127" s="74" t="str">
        <f>'6.Cons Profit &amp; Loss'!A12</f>
        <v>Faclitiy 5 - Agri Input Centre</v>
      </c>
      <c r="C127" s="323">
        <f>'6.Cons Profit &amp; Loss'!B12*(1+$M$124)</f>
        <v>52055155.151999995</v>
      </c>
      <c r="D127" s="323">
        <f>'6.Cons Profit &amp; Loss'!C12*(1+$M$124)</f>
        <v>61627402.821600005</v>
      </c>
      <c r="E127" s="323">
        <f>'6.Cons Profit &amp; Loss'!D12*(1+$M$124)</f>
        <v>69346780.299720034</v>
      </c>
      <c r="F127" s="323">
        <f>'6.Cons Profit &amp; Loss'!E12*(1+$M$124)</f>
        <v>77684027.018598035</v>
      </c>
      <c r="G127" s="323">
        <f>'6.Cons Profit &amp; Loss'!F12*(1+$M$124)</f>
        <v>86681631.458614543</v>
      </c>
      <c r="H127" s="323">
        <f>'6.Cons Profit &amp; Loss'!G12*(1+$M$124)</f>
        <v>96384786.275086209</v>
      </c>
      <c r="I127" s="323">
        <f>'6.Cons Profit &amp; Loss'!H12*(1+$M$124)</f>
        <v>106841552.49455848</v>
      </c>
    </row>
    <row r="128" spans="2:18">
      <c r="B128" s="74" t="str">
        <f>'6.Cons Profit &amp; Loss'!A13</f>
        <v>Facility 6 - Processing Unit - Horti Commodity</v>
      </c>
      <c r="C128" s="323">
        <f>'6.Cons Profit &amp; Loss'!B13*(1+$M$124)</f>
        <v>0</v>
      </c>
      <c r="D128" s="323">
        <f>'6.Cons Profit &amp; Loss'!C13*(1+$M$124)</f>
        <v>0</v>
      </c>
      <c r="E128" s="323">
        <f>'6.Cons Profit &amp; Loss'!D13*(1+$M$124)</f>
        <v>0</v>
      </c>
      <c r="F128" s="323">
        <f>'6.Cons Profit &amp; Loss'!E13*(1+$M$124)</f>
        <v>0</v>
      </c>
      <c r="G128" s="323">
        <f>'6.Cons Profit &amp; Loss'!F13*(1+$M$124)</f>
        <v>0</v>
      </c>
      <c r="H128" s="323">
        <f>'6.Cons Profit &amp; Loss'!G13*(1+$M$124)</f>
        <v>0</v>
      </c>
      <c r="I128" s="323">
        <f>'6.Cons Profit &amp; Loss'!H13*(1+$M$124)</f>
        <v>0</v>
      </c>
    </row>
    <row r="129" spans="2:9">
      <c r="B129" s="74">
        <f>'6.Cons Profit &amp; Loss'!A14</f>
        <v>0</v>
      </c>
      <c r="C129" s="323">
        <f>'6.Cons Profit &amp; Loss'!B14*(1+$M$124)</f>
        <v>0</v>
      </c>
      <c r="D129" s="323">
        <f>'6.Cons Profit &amp; Loss'!C14*(1+$M$124)</f>
        <v>0</v>
      </c>
      <c r="E129" s="323">
        <f>'6.Cons Profit &amp; Loss'!D14*(1+$M$124)</f>
        <v>0</v>
      </c>
      <c r="F129" s="323">
        <f>'6.Cons Profit &amp; Loss'!E14*(1+$M$124)</f>
        <v>0</v>
      </c>
      <c r="G129" s="323">
        <f>'6.Cons Profit &amp; Loss'!F14*(1+$M$124)</f>
        <v>0</v>
      </c>
      <c r="H129" s="323">
        <f>'6.Cons Profit &amp; Loss'!G14*(1+$M$124)</f>
        <v>0</v>
      </c>
      <c r="I129" s="323">
        <f>'6.Cons Profit &amp; Loss'!H14*(1+$M$124)</f>
        <v>0</v>
      </c>
    </row>
    <row r="130" spans="2:9">
      <c r="B130" s="74" t="s">
        <v>359</v>
      </c>
      <c r="C130" s="323">
        <f>SUM(C123:C129)</f>
        <v>73227835.673999995</v>
      </c>
      <c r="D130" s="323">
        <f t="shared" ref="D130:I130" si="13">SUM(D123:D129)</f>
        <v>87577204.104809999</v>
      </c>
      <c r="E130" s="323">
        <f t="shared" si="13"/>
        <v>99584298.426280543</v>
      </c>
      <c r="F130" s="323">
        <f t="shared" si="13"/>
        <v>112573159.16963607</v>
      </c>
      <c r="G130" s="323">
        <f t="shared" si="13"/>
        <v>126611945.24126145</v>
      </c>
      <c r="H130" s="323">
        <f t="shared" si="13"/>
        <v>141588243.82371905</v>
      </c>
      <c r="I130" s="323">
        <f t="shared" si="13"/>
        <v>157745642.40131924</v>
      </c>
    </row>
    <row r="131" spans="2:9">
      <c r="B131" s="74" t="s">
        <v>360</v>
      </c>
      <c r="C131" s="323"/>
      <c r="D131" s="323"/>
      <c r="E131" s="323"/>
      <c r="F131" s="323"/>
      <c r="G131" s="323"/>
      <c r="H131" s="323"/>
      <c r="I131" s="323"/>
    </row>
    <row r="132" spans="2:9">
      <c r="B132" s="74" t="s">
        <v>361</v>
      </c>
      <c r="C132" s="323">
        <f>'6.Cons Profit &amp; Loss'!B36</f>
        <v>4841050</v>
      </c>
      <c r="D132" s="323">
        <f>'6.Cons Profit &amp; Loss'!C36</f>
        <v>5086102.5</v>
      </c>
      <c r="E132" s="323">
        <f>'6.Cons Profit &amp; Loss'!D36</f>
        <v>5343707.625</v>
      </c>
      <c r="F132" s="323">
        <f>'6.Cons Profit &amp; Loss'!E36</f>
        <v>5614523.0062500006</v>
      </c>
      <c r="G132" s="323">
        <f>'6.Cons Profit &amp; Loss'!F36</f>
        <v>5899242.1565625016</v>
      </c>
      <c r="H132" s="323">
        <f>'6.Cons Profit &amp; Loss'!G36</f>
        <v>6198596.5643906267</v>
      </c>
      <c r="I132" s="323">
        <f>'6.Cons Profit &amp; Loss'!H36</f>
        <v>5789706.2766726576</v>
      </c>
    </row>
    <row r="133" spans="2:9">
      <c r="B133" s="74" t="s">
        <v>315</v>
      </c>
      <c r="C133" s="323">
        <f>'6.Cons Profit &amp; Loss'!B25*(1+M124)</f>
        <v>62076902.418720007</v>
      </c>
      <c r="D133" s="323">
        <f>'6.Cons Profit &amp; Loss'!C25*(1+N124)</f>
        <v>70180936.77452001</v>
      </c>
      <c r="E133" s="323">
        <f>'6.Cons Profit &amp; Loss'!D25*(1+O124)</f>
        <v>79624539.866256014</v>
      </c>
      <c r="F133" s="323">
        <f>'6.Cons Profit &amp; Loss'!E25*(1+P124)</f>
        <v>89837050.925229341</v>
      </c>
      <c r="G133" s="323">
        <f>'6.Cons Profit &amp; Loss'!F25*(1+Q124)</f>
        <v>100871751.74043433</v>
      </c>
      <c r="H133" s="323">
        <f>'6.Cons Profit &amp; Loss'!G25*(1+R124)</f>
        <v>112785330.00984676</v>
      </c>
      <c r="I133" s="323">
        <f>'6.Cons Profit &amp; Loss'!H25*(1+S124)</f>
        <v>125638086.72684935</v>
      </c>
    </row>
    <row r="134" spans="2:9">
      <c r="B134" s="74" t="s">
        <v>362</v>
      </c>
      <c r="C134" s="323">
        <f t="shared" ref="C134:I134" si="14">SUM(C132:C133)</f>
        <v>66917952.418720007</v>
      </c>
      <c r="D134" s="323">
        <f t="shared" si="14"/>
        <v>75267039.27452001</v>
      </c>
      <c r="E134" s="323">
        <f t="shared" si="14"/>
        <v>84968247.491256014</v>
      </c>
      <c r="F134" s="323">
        <f t="shared" si="14"/>
        <v>95451573.931479335</v>
      </c>
      <c r="G134" s="323">
        <f t="shared" si="14"/>
        <v>106770993.89699684</v>
      </c>
      <c r="H134" s="323">
        <f t="shared" si="14"/>
        <v>118983926.57423739</v>
      </c>
      <c r="I134" s="323">
        <f t="shared" si="14"/>
        <v>131427793.00352201</v>
      </c>
    </row>
    <row r="135" spans="2:9">
      <c r="B135" s="77" t="s">
        <v>363</v>
      </c>
      <c r="C135" s="325">
        <f t="shared" ref="C135:I135" si="15">+C130-C134</f>
        <v>6309883.2552799881</v>
      </c>
      <c r="D135" s="325">
        <f t="shared" si="15"/>
        <v>12310164.83028999</v>
      </c>
      <c r="E135" s="325">
        <f t="shared" si="15"/>
        <v>14616050.93502453</v>
      </c>
      <c r="F135" s="325">
        <f t="shared" si="15"/>
        <v>17121585.238156736</v>
      </c>
      <c r="G135" s="325">
        <f t="shared" si="15"/>
        <v>19840951.344264612</v>
      </c>
      <c r="H135" s="325">
        <f t="shared" si="15"/>
        <v>22604317.249481663</v>
      </c>
      <c r="I135" s="325">
        <f t="shared" si="15"/>
        <v>26317849.397797227</v>
      </c>
    </row>
    <row r="136" spans="2:9">
      <c r="B136" s="79"/>
      <c r="C136" s="80"/>
      <c r="D136" s="80"/>
      <c r="E136" s="80"/>
      <c r="F136" s="80"/>
      <c r="G136" s="80"/>
      <c r="H136" s="80"/>
      <c r="I136" s="80"/>
    </row>
    <row r="137" spans="2:9">
      <c r="B137" s="82" t="s">
        <v>364</v>
      </c>
      <c r="C137" s="83" t="s">
        <v>2</v>
      </c>
      <c r="D137" s="83" t="s">
        <v>3</v>
      </c>
      <c r="E137" s="83" t="s">
        <v>4</v>
      </c>
      <c r="F137" s="83" t="s">
        <v>5</v>
      </c>
      <c r="G137" s="83" t="s">
        <v>6</v>
      </c>
      <c r="H137" s="83" t="s">
        <v>171</v>
      </c>
      <c r="I137" s="83" t="s">
        <v>170</v>
      </c>
    </row>
    <row r="138" spans="2:9">
      <c r="B138" s="74" t="str">
        <f t="shared" ref="B138:B144" si="16">B123</f>
        <v>Faclitiy 1 - Cleaning &amp; Grading</v>
      </c>
      <c r="C138" s="76">
        <f>'6.Cons Profit &amp; Loss'!B8</f>
        <v>16591683.239999998</v>
      </c>
      <c r="D138" s="76">
        <f>'6.Cons Profit &amp; Loss'!C8</f>
        <v>20064021.100199997</v>
      </c>
      <c r="E138" s="76">
        <f>'6.Cons Profit &amp; Loss'!D8</f>
        <v>22991021.063010003</v>
      </c>
      <c r="F138" s="76">
        <f>'6.Cons Profit &amp; Loss'!E8</f>
        <v>26160560.969350506</v>
      </c>
      <c r="G138" s="76">
        <f>'6.Cons Profit &amp; Loss'!F8</f>
        <v>29589577.313667536</v>
      </c>
      <c r="H138" s="76">
        <f>'6.Cons Profit &amp; Loss'!G8</f>
        <v>33296093.889992896</v>
      </c>
      <c r="I138" s="76">
        <f>'6.Cons Profit &amp; Loss'!H8</f>
        <v>37299288.180666618</v>
      </c>
    </row>
    <row r="139" spans="2:9">
      <c r="B139" s="74" t="str">
        <f t="shared" si="16"/>
        <v>Faclitiy 2 - Processing Unit- Dal Mill</v>
      </c>
      <c r="C139" s="76">
        <f>'6.Cons Profit &amp; Loss'!B9</f>
        <v>1364774.4000000001</v>
      </c>
      <c r="D139" s="76">
        <f>'6.Cons Profit &amp; Loss'!C9</f>
        <v>2186775.3600000003</v>
      </c>
      <c r="E139" s="76">
        <f>'6.Cons Profit &amp; Loss'!D9</f>
        <v>3068005.2480000006</v>
      </c>
      <c r="F139" s="76">
        <f>'6.Cons Profit &amp; Loss'!E9</f>
        <v>4031891.1864000014</v>
      </c>
      <c r="G139" s="76">
        <f>'6.Cons Profit &amp; Loss'!F9</f>
        <v>5084495.7055200012</v>
      </c>
      <c r="H139" s="76">
        <f>'6.Cons Profit &amp; Loss'!G9</f>
        <v>6232280.948586002</v>
      </c>
      <c r="I139" s="76">
        <f>'6.Cons Profit &amp; Loss'!H9</f>
        <v>7482133.4766948018</v>
      </c>
    </row>
    <row r="140" spans="2:9">
      <c r="B140" s="74" t="str">
        <f t="shared" si="16"/>
        <v>Faclitiy 3 - Warehouse</v>
      </c>
      <c r="C140" s="76">
        <f>'6.Cons Profit &amp; Loss'!B10</f>
        <v>2208000</v>
      </c>
      <c r="D140" s="76">
        <f>'6.Cons Profit &amp; Loss'!C10</f>
        <v>2463300.0000000005</v>
      </c>
      <c r="E140" s="76">
        <f>'6.Cons Profit &amp; Loss'!D10</f>
        <v>2738610.0000000009</v>
      </c>
      <c r="F140" s="76">
        <f>'6.Cons Profit &amp; Loss'!E10</f>
        <v>3035292.7500000014</v>
      </c>
      <c r="G140" s="76">
        <f>'6.Cons Profit &amp; Loss'!F10</f>
        <v>3354797.2500000019</v>
      </c>
      <c r="H140" s="76">
        <f>'6.Cons Profit &amp; Loss'!G10</f>
        <v>3522537.1125000021</v>
      </c>
      <c r="I140" s="76">
        <f>'6.Cons Profit &amp; Loss'!H10</f>
        <v>3698663.9681250025</v>
      </c>
    </row>
    <row r="141" spans="2:9">
      <c r="B141" s="74" t="str">
        <f t="shared" si="16"/>
        <v xml:space="preserve">Faclitiy 4 - Custom Hiring </v>
      </c>
      <c r="C141" s="76">
        <f>'6.Cons Profit &amp; Loss'!B11</f>
        <v>0</v>
      </c>
      <c r="D141" s="76">
        <f>'6.Cons Profit &amp; Loss'!C11</f>
        <v>0</v>
      </c>
      <c r="E141" s="76">
        <f>'6.Cons Profit &amp; Loss'!D11</f>
        <v>0</v>
      </c>
      <c r="F141" s="76">
        <f>'6.Cons Profit &amp; Loss'!E11</f>
        <v>0</v>
      </c>
      <c r="G141" s="76">
        <f>'6.Cons Profit &amp; Loss'!F11</f>
        <v>0</v>
      </c>
      <c r="H141" s="76">
        <f>'6.Cons Profit &amp; Loss'!G11</f>
        <v>0</v>
      </c>
      <c r="I141" s="76">
        <f>'6.Cons Profit &amp; Loss'!H11</f>
        <v>0</v>
      </c>
    </row>
    <row r="142" spans="2:9">
      <c r="B142" s="74" t="str">
        <f t="shared" si="16"/>
        <v>Faclitiy 5 - Agri Input Centre</v>
      </c>
      <c r="C142" s="76">
        <f>'6.Cons Profit &amp; Loss'!B12</f>
        <v>49576338.239999995</v>
      </c>
      <c r="D142" s="76">
        <f>'6.Cons Profit &amp; Loss'!C12</f>
        <v>58692764.592</v>
      </c>
      <c r="E142" s="76">
        <f>'6.Cons Profit &amp; Loss'!D12</f>
        <v>66044552.66640003</v>
      </c>
      <c r="F142" s="76">
        <f>'6.Cons Profit &amp; Loss'!E12</f>
        <v>73984787.636760026</v>
      </c>
      <c r="G142" s="76">
        <f>'6.Cons Profit &amp; Loss'!F12</f>
        <v>82553934.722490042</v>
      </c>
      <c r="H142" s="76">
        <f>'6.Cons Profit &amp; Loss'!G12</f>
        <v>91795034.54770115</v>
      </c>
      <c r="I142" s="76">
        <f>'6.Cons Profit &amp; Loss'!H12</f>
        <v>101753859.51862712</v>
      </c>
    </row>
    <row r="143" spans="2:9">
      <c r="B143" s="74" t="str">
        <f t="shared" si="16"/>
        <v>Facility 6 - Processing Unit - Horti Commodity</v>
      </c>
      <c r="C143" s="76">
        <f>'6.Cons Profit &amp; Loss'!B13</f>
        <v>0</v>
      </c>
      <c r="D143" s="76">
        <f>'6.Cons Profit &amp; Loss'!C13</f>
        <v>0</v>
      </c>
      <c r="E143" s="76">
        <f>'6.Cons Profit &amp; Loss'!D13</f>
        <v>0</v>
      </c>
      <c r="F143" s="76">
        <f>'6.Cons Profit &amp; Loss'!E13</f>
        <v>0</v>
      </c>
      <c r="G143" s="76">
        <f>'6.Cons Profit &amp; Loss'!F13</f>
        <v>0</v>
      </c>
      <c r="H143" s="76">
        <f>'6.Cons Profit &amp; Loss'!G13</f>
        <v>0</v>
      </c>
      <c r="I143" s="76">
        <f>'6.Cons Profit &amp; Loss'!H13</f>
        <v>0</v>
      </c>
    </row>
    <row r="144" spans="2:9">
      <c r="B144" s="74">
        <f t="shared" si="16"/>
        <v>0</v>
      </c>
      <c r="C144" s="76">
        <f>'6.Cons Profit &amp; Loss'!B14</f>
        <v>0</v>
      </c>
      <c r="D144" s="76">
        <f>'6.Cons Profit &amp; Loss'!C14</f>
        <v>0</v>
      </c>
      <c r="E144" s="76">
        <f>'6.Cons Profit &amp; Loss'!D14</f>
        <v>0</v>
      </c>
      <c r="F144" s="76">
        <f>'6.Cons Profit &amp; Loss'!E14</f>
        <v>0</v>
      </c>
      <c r="G144" s="76">
        <f>'6.Cons Profit &amp; Loss'!F14</f>
        <v>0</v>
      </c>
      <c r="H144" s="76">
        <f>'6.Cons Profit &amp; Loss'!G14</f>
        <v>0</v>
      </c>
      <c r="I144" s="76">
        <f>'6.Cons Profit &amp; Loss'!H14</f>
        <v>0</v>
      </c>
    </row>
    <row r="145" spans="2:15">
      <c r="B145" s="74" t="s">
        <v>359</v>
      </c>
      <c r="C145" s="76">
        <f>SUM(C138:C144)</f>
        <v>69740795.879999995</v>
      </c>
      <c r="D145" s="76">
        <f t="shared" ref="D145:I145" si="17">SUM(D138:D144)</f>
        <v>83406861.05219999</v>
      </c>
      <c r="E145" s="76">
        <f t="shared" si="17"/>
        <v>94842188.977410033</v>
      </c>
      <c r="F145" s="76">
        <f t="shared" si="17"/>
        <v>107212532.54251054</v>
      </c>
      <c r="G145" s="76">
        <f t="shared" si="17"/>
        <v>120582804.99167758</v>
      </c>
      <c r="H145" s="76">
        <f t="shared" si="17"/>
        <v>134845946.49878004</v>
      </c>
      <c r="I145" s="76">
        <f t="shared" si="17"/>
        <v>150233945.14411354</v>
      </c>
    </row>
    <row r="146" spans="2:15">
      <c r="B146" s="74" t="s">
        <v>360</v>
      </c>
      <c r="C146" s="81"/>
      <c r="D146" s="76"/>
      <c r="E146" s="76"/>
      <c r="F146" s="76"/>
      <c r="G146" s="76"/>
      <c r="H146" s="76"/>
      <c r="I146" s="76"/>
    </row>
    <row r="147" spans="2:15">
      <c r="B147" s="74" t="s">
        <v>361</v>
      </c>
      <c r="C147" s="75">
        <f>'6.Cons Profit &amp; Loss'!B36</f>
        <v>4841050</v>
      </c>
      <c r="D147" s="75">
        <f>'6.Cons Profit &amp; Loss'!C36</f>
        <v>5086102.5</v>
      </c>
      <c r="E147" s="75">
        <f>'6.Cons Profit &amp; Loss'!D36</f>
        <v>5343707.625</v>
      </c>
      <c r="F147" s="75">
        <f>'6.Cons Profit &amp; Loss'!E36</f>
        <v>5614523.0062500006</v>
      </c>
      <c r="G147" s="75">
        <f>'6.Cons Profit &amp; Loss'!F36</f>
        <v>5899242.1565625016</v>
      </c>
      <c r="H147" s="75">
        <f>'6.Cons Profit &amp; Loss'!G36</f>
        <v>6198596.5643906267</v>
      </c>
      <c r="I147" s="75">
        <f>'6.Cons Profit &amp; Loss'!H36</f>
        <v>5789706.2766726576</v>
      </c>
    </row>
    <row r="148" spans="2:15">
      <c r="B148" s="74" t="s">
        <v>315</v>
      </c>
      <c r="C148" s="75">
        <f>'6.Cons Profit &amp; Loss'!B25*(1+$M$125)</f>
        <v>62076902.418720007</v>
      </c>
      <c r="D148" s="75">
        <f>'6.Cons Profit &amp; Loss'!C25*(1+$M$125)</f>
        <v>73689983.613246009</v>
      </c>
      <c r="E148" s="75">
        <f>'6.Cons Profit &amp; Loss'!D25*(1+$M$125)</f>
        <v>83605766.859568819</v>
      </c>
      <c r="F148" s="75">
        <f>'6.Cons Profit &amp; Loss'!E25*(1+$M$125)</f>
        <v>94328903.471490815</v>
      </c>
      <c r="G148" s="75">
        <f>'6.Cons Profit &amp; Loss'!F25*(1+$M$125)</f>
        <v>105915339.32745606</v>
      </c>
      <c r="H148" s="75">
        <f>'6.Cons Profit &amp; Loss'!G25*(1+$M$125)</f>
        <v>118424596.51033911</v>
      </c>
      <c r="I148" s="75">
        <f>'6.Cons Profit &amp; Loss'!H25*(1+$M$125)</f>
        <v>131919991.06319182</v>
      </c>
    </row>
    <row r="149" spans="2:15">
      <c r="B149" s="74" t="s">
        <v>362</v>
      </c>
      <c r="C149" s="75">
        <f t="shared" ref="C149:I149" si="18">SUM(C147:C148)</f>
        <v>66917952.418720007</v>
      </c>
      <c r="D149" s="75">
        <f t="shared" si="18"/>
        <v>78776086.113246009</v>
      </c>
      <c r="E149" s="75">
        <f t="shared" si="18"/>
        <v>88949474.484568819</v>
      </c>
      <c r="F149" s="75">
        <f t="shared" si="18"/>
        <v>99943426.477740809</v>
      </c>
      <c r="G149" s="75">
        <f t="shared" si="18"/>
        <v>111814581.48401856</v>
      </c>
      <c r="H149" s="75">
        <f t="shared" si="18"/>
        <v>124623193.07472974</v>
      </c>
      <c r="I149" s="75">
        <f t="shared" si="18"/>
        <v>137709697.33986446</v>
      </c>
    </row>
    <row r="150" spans="2:15">
      <c r="B150" s="77" t="s">
        <v>363</v>
      </c>
      <c r="C150" s="78">
        <f t="shared" ref="C150:I150" si="19">+C145-C149</f>
        <v>2822843.4612799883</v>
      </c>
      <c r="D150" s="78">
        <f t="shared" si="19"/>
        <v>4630774.9389539808</v>
      </c>
      <c r="E150" s="78">
        <f t="shared" si="19"/>
        <v>5892714.4928412139</v>
      </c>
      <c r="F150" s="78">
        <f t="shared" si="19"/>
        <v>7269106.06476973</v>
      </c>
      <c r="G150" s="78">
        <f t="shared" si="19"/>
        <v>8768223.507659018</v>
      </c>
      <c r="H150" s="78">
        <f t="shared" si="19"/>
        <v>10222753.424050301</v>
      </c>
      <c r="I150" s="78">
        <f t="shared" si="19"/>
        <v>12524247.804249078</v>
      </c>
      <c r="N150" s="4"/>
      <c r="O150" s="6"/>
    </row>
    <row r="151" spans="2:15">
      <c r="B151" s="79"/>
      <c r="C151" s="80"/>
      <c r="D151" s="80"/>
      <c r="E151" s="80"/>
      <c r="F151" s="80"/>
      <c r="G151" s="80"/>
      <c r="H151" s="80"/>
      <c r="I151" s="80"/>
    </row>
    <row r="152" spans="2:15">
      <c r="B152" s="82" t="s">
        <v>365</v>
      </c>
      <c r="C152" s="83" t="s">
        <v>2</v>
      </c>
      <c r="D152" s="83" t="s">
        <v>3</v>
      </c>
      <c r="E152" s="83" t="s">
        <v>4</v>
      </c>
      <c r="F152" s="83" t="s">
        <v>5</v>
      </c>
      <c r="G152" s="83" t="s">
        <v>6</v>
      </c>
      <c r="H152" s="83" t="s">
        <v>171</v>
      </c>
      <c r="I152" s="83" t="s">
        <v>170</v>
      </c>
    </row>
    <row r="153" spans="2:15">
      <c r="B153" s="74" t="str">
        <f t="shared" ref="B153:B159" si="20">B138</f>
        <v>Faclitiy 1 - Cleaning &amp; Grading</v>
      </c>
      <c r="C153" s="323">
        <f>'6.Cons Profit &amp; Loss'!B8*(1-$M$124)</f>
        <v>15762099.077999998</v>
      </c>
      <c r="D153" s="323">
        <f>'6.Cons Profit &amp; Loss'!C8*(1-$M$124)</f>
        <v>19060820.045189995</v>
      </c>
      <c r="E153" s="323">
        <f>'6.Cons Profit &amp; Loss'!D8*(1-$M$124)</f>
        <v>21841470.009859502</v>
      </c>
      <c r="F153" s="323">
        <f>'6.Cons Profit &amp; Loss'!E8*(1-$M$124)</f>
        <v>24852532.920882978</v>
      </c>
      <c r="G153" s="323">
        <f>'6.Cons Profit &amp; Loss'!F8*(1-$M$124)</f>
        <v>28110098.447984159</v>
      </c>
      <c r="H153" s="323">
        <f>'6.Cons Profit &amp; Loss'!G8*(1-$M$124)</f>
        <v>31631289.195493251</v>
      </c>
      <c r="I153" s="323">
        <f>'6.Cons Profit &amp; Loss'!H8*(1-$M$124)</f>
        <v>35434323.771633282</v>
      </c>
    </row>
    <row r="154" spans="2:15">
      <c r="B154" s="74" t="str">
        <f t="shared" si="20"/>
        <v>Faclitiy 2 - Processing Unit- Dal Mill</v>
      </c>
      <c r="C154" s="323">
        <f>'6.Cons Profit &amp; Loss'!B9*(1-$M$124)</f>
        <v>1296535.6800000002</v>
      </c>
      <c r="D154" s="323">
        <f>'6.Cons Profit &amp; Loss'!C9*(1-$M$124)</f>
        <v>2077436.5920000002</v>
      </c>
      <c r="E154" s="323">
        <f>'6.Cons Profit &amp; Loss'!D9*(1-$M$124)</f>
        <v>2914604.9856000002</v>
      </c>
      <c r="F154" s="323">
        <f>'6.Cons Profit &amp; Loss'!E9*(1-$M$124)</f>
        <v>3830296.6270800009</v>
      </c>
      <c r="G154" s="323">
        <f>'6.Cons Profit &amp; Loss'!F9*(1-$M$124)</f>
        <v>4830270.9202440009</v>
      </c>
      <c r="H154" s="323">
        <f>'6.Cons Profit &amp; Loss'!G9*(1-$M$124)</f>
        <v>5920666.9011567021</v>
      </c>
      <c r="I154" s="323">
        <f>'6.Cons Profit &amp; Loss'!H9*(1-$M$124)</f>
        <v>7108026.8028600616</v>
      </c>
    </row>
    <row r="155" spans="2:15">
      <c r="B155" s="74" t="str">
        <f t="shared" si="20"/>
        <v>Faclitiy 3 - Warehouse</v>
      </c>
      <c r="C155" s="323">
        <f>'6.Cons Profit &amp; Loss'!B10*(1-$M$124)</f>
        <v>2097600</v>
      </c>
      <c r="D155" s="323">
        <f>'6.Cons Profit &amp; Loss'!C10*(1-$M$124)</f>
        <v>2340135.0000000005</v>
      </c>
      <c r="E155" s="323">
        <f>'6.Cons Profit &amp; Loss'!D10*(1-$M$124)</f>
        <v>2601679.5000000009</v>
      </c>
      <c r="F155" s="323">
        <f>'6.Cons Profit &amp; Loss'!E10*(1-$M$124)</f>
        <v>2883528.1125000012</v>
      </c>
      <c r="G155" s="323">
        <f>'6.Cons Profit &amp; Loss'!F10*(1-$M$124)</f>
        <v>3187057.3875000016</v>
      </c>
      <c r="H155" s="323">
        <f>'6.Cons Profit &amp; Loss'!G10*(1-$M$124)</f>
        <v>3346410.2568750018</v>
      </c>
      <c r="I155" s="323">
        <f>'6.Cons Profit &amp; Loss'!H10*(1-$M$124)</f>
        <v>3513730.7697187522</v>
      </c>
    </row>
    <row r="156" spans="2:15">
      <c r="B156" s="74" t="str">
        <f t="shared" si="20"/>
        <v xml:space="preserve">Faclitiy 4 - Custom Hiring </v>
      </c>
      <c r="C156" s="323">
        <f>'6.Cons Profit &amp; Loss'!B11*(1-$M$124)</f>
        <v>0</v>
      </c>
      <c r="D156" s="323">
        <f>'6.Cons Profit &amp; Loss'!C11*(1-$M$124)</f>
        <v>0</v>
      </c>
      <c r="E156" s="323">
        <f>'6.Cons Profit &amp; Loss'!D11*(1-$M$124)</f>
        <v>0</v>
      </c>
      <c r="F156" s="323">
        <f>'6.Cons Profit &amp; Loss'!E11*(1-$M$124)</f>
        <v>0</v>
      </c>
      <c r="G156" s="323">
        <f>'6.Cons Profit &amp; Loss'!F11*(1-$M$124)</f>
        <v>0</v>
      </c>
      <c r="H156" s="323">
        <f>'6.Cons Profit &amp; Loss'!G11*(1-$M$124)</f>
        <v>0</v>
      </c>
      <c r="I156" s="323">
        <f>'6.Cons Profit &amp; Loss'!H11*(1-$M$124)</f>
        <v>0</v>
      </c>
    </row>
    <row r="157" spans="2:15">
      <c r="B157" s="74" t="str">
        <f t="shared" si="20"/>
        <v>Faclitiy 5 - Agri Input Centre</v>
      </c>
      <c r="C157" s="323">
        <f>'6.Cons Profit &amp; Loss'!B12*(1-$M$124)</f>
        <v>47097521.327999994</v>
      </c>
      <c r="D157" s="323">
        <f>'6.Cons Profit &amp; Loss'!C12*(1-$M$124)</f>
        <v>55758126.362399995</v>
      </c>
      <c r="E157" s="323">
        <f>'6.Cons Profit &amp; Loss'!D12*(1-$M$124)</f>
        <v>62742325.033080027</v>
      </c>
      <c r="F157" s="323">
        <f>'6.Cons Profit &amp; Loss'!E12*(1-$M$124)</f>
        <v>70285548.254922017</v>
      </c>
      <c r="G157" s="323">
        <f>'6.Cons Profit &amp; Loss'!F12*(1-$M$124)</f>
        <v>78426237.986365542</v>
      </c>
      <c r="H157" s="323">
        <f>'6.Cons Profit &amp; Loss'!G12*(1-$M$124)</f>
        <v>87205282.820316091</v>
      </c>
      <c r="I157" s="323">
        <f>'6.Cons Profit &amp; Loss'!H12*(1-$M$124)</f>
        <v>96666166.542695761</v>
      </c>
    </row>
    <row r="158" spans="2:15">
      <c r="B158" s="74" t="str">
        <f t="shared" si="20"/>
        <v>Facility 6 - Processing Unit - Horti Commodity</v>
      </c>
      <c r="C158" s="323">
        <f>'6.Cons Profit &amp; Loss'!B13*(1-$M$124)</f>
        <v>0</v>
      </c>
      <c r="D158" s="323">
        <f>'6.Cons Profit &amp; Loss'!C13*(1-$M$124)</f>
        <v>0</v>
      </c>
      <c r="E158" s="323">
        <f>'6.Cons Profit &amp; Loss'!D13*(1-$M$124)</f>
        <v>0</v>
      </c>
      <c r="F158" s="323">
        <f>'6.Cons Profit &amp; Loss'!E13*(1-$M$124)</f>
        <v>0</v>
      </c>
      <c r="G158" s="323">
        <f>'6.Cons Profit &amp; Loss'!F13*(1-$M$124)</f>
        <v>0</v>
      </c>
      <c r="H158" s="323">
        <f>'6.Cons Profit &amp; Loss'!G13*(1-$M$124)</f>
        <v>0</v>
      </c>
      <c r="I158" s="323">
        <f>'6.Cons Profit &amp; Loss'!H13*(1-$M$124)</f>
        <v>0</v>
      </c>
    </row>
    <row r="159" spans="2:15">
      <c r="B159" s="74">
        <f t="shared" si="20"/>
        <v>0</v>
      </c>
      <c r="C159" s="323">
        <f>'6.Cons Profit &amp; Loss'!B14*(1-$M$124)</f>
        <v>0</v>
      </c>
      <c r="D159" s="323">
        <f>'6.Cons Profit &amp; Loss'!C14*(1-$M$124)</f>
        <v>0</v>
      </c>
      <c r="E159" s="323">
        <f>'6.Cons Profit &amp; Loss'!D14*(1-$M$124)</f>
        <v>0</v>
      </c>
      <c r="F159" s="323">
        <f>'6.Cons Profit &amp; Loss'!E14*(1-$M$124)</f>
        <v>0</v>
      </c>
      <c r="G159" s="323">
        <f>'6.Cons Profit &amp; Loss'!F14*(1-$M$124)</f>
        <v>0</v>
      </c>
      <c r="H159" s="323">
        <f>'6.Cons Profit &amp; Loss'!G14*(1-$M$124)</f>
        <v>0</v>
      </c>
      <c r="I159" s="323">
        <f>'6.Cons Profit &amp; Loss'!H14*(1-$M$124)</f>
        <v>0</v>
      </c>
    </row>
    <row r="160" spans="2:15">
      <c r="B160" s="74" t="s">
        <v>359</v>
      </c>
      <c r="C160" s="323">
        <f>SUM(C153:C159)</f>
        <v>66253756.085999995</v>
      </c>
      <c r="D160" s="323">
        <f t="shared" ref="D160:I160" si="21">SUM(D153:D159)</f>
        <v>79236517.999589995</v>
      </c>
      <c r="E160" s="323">
        <f t="shared" si="21"/>
        <v>90100079.528539538</v>
      </c>
      <c r="F160" s="323">
        <f t="shared" si="21"/>
        <v>101851905.91538499</v>
      </c>
      <c r="G160" s="323">
        <f t="shared" si="21"/>
        <v>114553664.74209371</v>
      </c>
      <c r="H160" s="323">
        <f t="shared" si="21"/>
        <v>128103649.17384104</v>
      </c>
      <c r="I160" s="323">
        <f t="shared" si="21"/>
        <v>142722247.88690785</v>
      </c>
    </row>
    <row r="161" spans="2:9">
      <c r="B161" s="74" t="s">
        <v>360</v>
      </c>
      <c r="C161" s="323"/>
      <c r="D161" s="323"/>
      <c r="E161" s="323"/>
      <c r="F161" s="323"/>
      <c r="G161" s="323"/>
      <c r="H161" s="323"/>
      <c r="I161" s="323"/>
    </row>
    <row r="162" spans="2:9">
      <c r="B162" s="74" t="s">
        <v>361</v>
      </c>
      <c r="C162" s="323">
        <f>'6.Cons Profit &amp; Loss'!B36</f>
        <v>4841050</v>
      </c>
      <c r="D162" s="323">
        <f>'6.Cons Profit &amp; Loss'!C36</f>
        <v>5086102.5</v>
      </c>
      <c r="E162" s="323">
        <f>'6.Cons Profit &amp; Loss'!D36</f>
        <v>5343707.625</v>
      </c>
      <c r="F162" s="323">
        <f>'6.Cons Profit &amp; Loss'!E36</f>
        <v>5614523.0062500006</v>
      </c>
      <c r="G162" s="323">
        <f>'6.Cons Profit &amp; Loss'!F36</f>
        <v>5899242.1565625016</v>
      </c>
      <c r="H162" s="323">
        <f>'6.Cons Profit &amp; Loss'!G36</f>
        <v>6198596.5643906267</v>
      </c>
      <c r="I162" s="323">
        <f>'6.Cons Profit &amp; Loss'!H36</f>
        <v>5789706.2766726576</v>
      </c>
    </row>
    <row r="163" spans="2:9">
      <c r="B163" s="74" t="s">
        <v>315</v>
      </c>
      <c r="C163" s="323">
        <f>'6.Cons Profit &amp; Loss'!B25*(1-$M$124)</f>
        <v>56164816.474079996</v>
      </c>
      <c r="D163" s="323">
        <f>'6.Cons Profit &amp; Loss'!C25*(1-$M$124)</f>
        <v>66671889.935794003</v>
      </c>
      <c r="E163" s="323">
        <f>'6.Cons Profit &amp; Loss'!D25*(1-$M$124)</f>
        <v>75643312.872943208</v>
      </c>
      <c r="F163" s="323">
        <f>'6.Cons Profit &amp; Loss'!E25*(1-$M$124)</f>
        <v>85345198.378967866</v>
      </c>
      <c r="G163" s="323">
        <f>'6.Cons Profit &amp; Loss'!F25*(1-$M$124)</f>
        <v>95828164.15341261</v>
      </c>
      <c r="H163" s="323">
        <f>'6.Cons Profit &amp; Loss'!G25*(1-$M$124)</f>
        <v>107146063.50935441</v>
      </c>
      <c r="I163" s="323">
        <f>'6.Cons Profit &amp; Loss'!H25*(1-$M$124)</f>
        <v>119356182.39050688</v>
      </c>
    </row>
    <row r="164" spans="2:9">
      <c r="B164" s="74" t="s">
        <v>362</v>
      </c>
      <c r="C164" s="323">
        <f t="shared" ref="C164:I164" si="22">SUM(C162:C163)</f>
        <v>61005866.474079996</v>
      </c>
      <c r="D164" s="323">
        <f t="shared" si="22"/>
        <v>71757992.435793996</v>
      </c>
      <c r="E164" s="323">
        <f t="shared" si="22"/>
        <v>80987020.497943208</v>
      </c>
      <c r="F164" s="323">
        <f t="shared" si="22"/>
        <v>90959721.38521786</v>
      </c>
      <c r="G164" s="323">
        <f t="shared" si="22"/>
        <v>101727406.30997512</v>
      </c>
      <c r="H164" s="323">
        <f t="shared" si="22"/>
        <v>113344660.07374504</v>
      </c>
      <c r="I164" s="323">
        <f t="shared" si="22"/>
        <v>125145888.66717954</v>
      </c>
    </row>
    <row r="165" spans="2:9">
      <c r="B165" s="77" t="s">
        <v>363</v>
      </c>
      <c r="C165" s="325">
        <f t="shared" ref="C165:I165" si="23">+C160-C164</f>
        <v>5247889.6119199991</v>
      </c>
      <c r="D165" s="325">
        <f t="shared" si="23"/>
        <v>7478525.5637959987</v>
      </c>
      <c r="E165" s="325">
        <f t="shared" si="23"/>
        <v>9113059.0305963308</v>
      </c>
      <c r="F165" s="325">
        <f t="shared" si="23"/>
        <v>10892184.530167133</v>
      </c>
      <c r="G165" s="325">
        <f t="shared" si="23"/>
        <v>12826258.432118595</v>
      </c>
      <c r="H165" s="325">
        <f t="shared" si="23"/>
        <v>14758989.100096002</v>
      </c>
      <c r="I165" s="325">
        <f t="shared" si="23"/>
        <v>17576359.219728306</v>
      </c>
    </row>
    <row r="166" spans="2:9">
      <c r="B166" s="13"/>
      <c r="C166" s="80"/>
      <c r="D166" s="80"/>
      <c r="E166" s="80"/>
      <c r="F166" s="80"/>
      <c r="G166" s="80"/>
      <c r="H166" s="80"/>
      <c r="I166" s="80"/>
    </row>
    <row r="167" spans="2:9">
      <c r="B167" s="82" t="s">
        <v>366</v>
      </c>
      <c r="C167" s="83" t="s">
        <v>2</v>
      </c>
      <c r="D167" s="83" t="s">
        <v>3</v>
      </c>
      <c r="E167" s="83" t="s">
        <v>4</v>
      </c>
      <c r="F167" s="83" t="s">
        <v>5</v>
      </c>
      <c r="G167" s="83" t="s">
        <v>6</v>
      </c>
      <c r="H167" s="83" t="s">
        <v>171</v>
      </c>
      <c r="I167" s="83" t="s">
        <v>170</v>
      </c>
    </row>
    <row r="168" spans="2:9">
      <c r="B168" s="74" t="str">
        <f t="shared" ref="B168:B174" si="24">B153</f>
        <v>Faclitiy 1 - Cleaning &amp; Grading</v>
      </c>
      <c r="C168" s="76">
        <f>'6.Cons Profit &amp; Loss'!B8</f>
        <v>16591683.239999998</v>
      </c>
      <c r="D168" s="76">
        <f>'6.Cons Profit &amp; Loss'!C8</f>
        <v>20064021.100199997</v>
      </c>
      <c r="E168" s="76">
        <f>'6.Cons Profit &amp; Loss'!D8</f>
        <v>22991021.063010003</v>
      </c>
      <c r="F168" s="76">
        <f>'6.Cons Profit &amp; Loss'!E8</f>
        <v>26160560.969350506</v>
      </c>
      <c r="G168" s="76">
        <f>'6.Cons Profit &amp; Loss'!F8</f>
        <v>29589577.313667536</v>
      </c>
      <c r="H168" s="76">
        <f>'6.Cons Profit &amp; Loss'!G8</f>
        <v>33296093.889992896</v>
      </c>
      <c r="I168" s="76">
        <f>'6.Cons Profit &amp; Loss'!H8</f>
        <v>37299288.180666618</v>
      </c>
    </row>
    <row r="169" spans="2:9">
      <c r="B169" s="74" t="str">
        <f t="shared" si="24"/>
        <v>Faclitiy 2 - Processing Unit- Dal Mill</v>
      </c>
      <c r="C169" s="76">
        <f>'6.Cons Profit &amp; Loss'!B9</f>
        <v>1364774.4000000001</v>
      </c>
      <c r="D169" s="76">
        <f>'6.Cons Profit &amp; Loss'!C9</f>
        <v>2186775.3600000003</v>
      </c>
      <c r="E169" s="76">
        <f>'6.Cons Profit &amp; Loss'!D9</f>
        <v>3068005.2480000006</v>
      </c>
      <c r="F169" s="76">
        <f>'6.Cons Profit &amp; Loss'!E9</f>
        <v>4031891.1864000014</v>
      </c>
      <c r="G169" s="76">
        <f>'6.Cons Profit &amp; Loss'!F9</f>
        <v>5084495.7055200012</v>
      </c>
      <c r="H169" s="76">
        <f>'6.Cons Profit &amp; Loss'!G9</f>
        <v>6232280.948586002</v>
      </c>
      <c r="I169" s="76">
        <f>'6.Cons Profit &amp; Loss'!H9</f>
        <v>7482133.4766948018</v>
      </c>
    </row>
    <row r="170" spans="2:9">
      <c r="B170" s="74" t="str">
        <f t="shared" si="24"/>
        <v>Faclitiy 3 - Warehouse</v>
      </c>
      <c r="C170" s="76">
        <f>'6.Cons Profit &amp; Loss'!B10</f>
        <v>2208000</v>
      </c>
      <c r="D170" s="76">
        <f>'6.Cons Profit &amp; Loss'!C10</f>
        <v>2463300.0000000005</v>
      </c>
      <c r="E170" s="76">
        <f>'6.Cons Profit &amp; Loss'!D10</f>
        <v>2738610.0000000009</v>
      </c>
      <c r="F170" s="76">
        <f>'6.Cons Profit &amp; Loss'!E10</f>
        <v>3035292.7500000014</v>
      </c>
      <c r="G170" s="76">
        <f>'6.Cons Profit &amp; Loss'!F10</f>
        <v>3354797.2500000019</v>
      </c>
      <c r="H170" s="76">
        <f>'6.Cons Profit &amp; Loss'!G10</f>
        <v>3522537.1125000021</v>
      </c>
      <c r="I170" s="76">
        <f>'6.Cons Profit &amp; Loss'!H10</f>
        <v>3698663.9681250025</v>
      </c>
    </row>
    <row r="171" spans="2:9">
      <c r="B171" s="74" t="str">
        <f t="shared" si="24"/>
        <v xml:space="preserve">Faclitiy 4 - Custom Hiring </v>
      </c>
      <c r="C171" s="76">
        <f>'6.Cons Profit &amp; Loss'!B11</f>
        <v>0</v>
      </c>
      <c r="D171" s="76">
        <f>'6.Cons Profit &amp; Loss'!C11</f>
        <v>0</v>
      </c>
      <c r="E171" s="76">
        <f>'6.Cons Profit &amp; Loss'!D11</f>
        <v>0</v>
      </c>
      <c r="F171" s="76">
        <f>'6.Cons Profit &amp; Loss'!E11</f>
        <v>0</v>
      </c>
      <c r="G171" s="76">
        <f>'6.Cons Profit &amp; Loss'!F11</f>
        <v>0</v>
      </c>
      <c r="H171" s="76">
        <f>'6.Cons Profit &amp; Loss'!G11</f>
        <v>0</v>
      </c>
      <c r="I171" s="76">
        <f>'6.Cons Profit &amp; Loss'!H11</f>
        <v>0</v>
      </c>
    </row>
    <row r="172" spans="2:9">
      <c r="B172" s="74" t="str">
        <f t="shared" si="24"/>
        <v>Faclitiy 5 - Agri Input Centre</v>
      </c>
      <c r="C172" s="76">
        <f>'6.Cons Profit &amp; Loss'!B12</f>
        <v>49576338.239999995</v>
      </c>
      <c r="D172" s="76">
        <f>'6.Cons Profit &amp; Loss'!C12</f>
        <v>58692764.592</v>
      </c>
      <c r="E172" s="76">
        <f>'6.Cons Profit &amp; Loss'!D12</f>
        <v>66044552.66640003</v>
      </c>
      <c r="F172" s="76">
        <f>'6.Cons Profit &amp; Loss'!E12</f>
        <v>73984787.636760026</v>
      </c>
      <c r="G172" s="76">
        <f>'6.Cons Profit &amp; Loss'!F12</f>
        <v>82553934.722490042</v>
      </c>
      <c r="H172" s="76">
        <f>'6.Cons Profit &amp; Loss'!G12</f>
        <v>91795034.54770115</v>
      </c>
      <c r="I172" s="76">
        <f>'6.Cons Profit &amp; Loss'!H12</f>
        <v>101753859.51862712</v>
      </c>
    </row>
    <row r="173" spans="2:9">
      <c r="B173" s="74" t="str">
        <f t="shared" si="24"/>
        <v>Facility 6 - Processing Unit - Horti Commodity</v>
      </c>
      <c r="C173" s="76">
        <f>'6.Cons Profit &amp; Loss'!B13</f>
        <v>0</v>
      </c>
      <c r="D173" s="76">
        <f>'6.Cons Profit &amp; Loss'!C13</f>
        <v>0</v>
      </c>
      <c r="E173" s="76">
        <f>'6.Cons Profit &amp; Loss'!D13</f>
        <v>0</v>
      </c>
      <c r="F173" s="76">
        <f>'6.Cons Profit &amp; Loss'!E13</f>
        <v>0</v>
      </c>
      <c r="G173" s="76">
        <f>'6.Cons Profit &amp; Loss'!F13</f>
        <v>0</v>
      </c>
      <c r="H173" s="76">
        <f>'6.Cons Profit &amp; Loss'!G13</f>
        <v>0</v>
      </c>
      <c r="I173" s="76">
        <f>'6.Cons Profit &amp; Loss'!H13</f>
        <v>0</v>
      </c>
    </row>
    <row r="174" spans="2:9">
      <c r="B174" s="74">
        <f t="shared" si="24"/>
        <v>0</v>
      </c>
      <c r="C174" s="76">
        <f>'6.Cons Profit &amp; Loss'!B14</f>
        <v>0</v>
      </c>
      <c r="D174" s="76">
        <f>'6.Cons Profit &amp; Loss'!C14</f>
        <v>0</v>
      </c>
      <c r="E174" s="76">
        <f>'6.Cons Profit &amp; Loss'!D14</f>
        <v>0</v>
      </c>
      <c r="F174" s="76">
        <f>'6.Cons Profit &amp; Loss'!E14</f>
        <v>0</v>
      </c>
      <c r="G174" s="76">
        <f>'6.Cons Profit &amp; Loss'!F14</f>
        <v>0</v>
      </c>
      <c r="H174" s="76">
        <f>'6.Cons Profit &amp; Loss'!G14</f>
        <v>0</v>
      </c>
      <c r="I174" s="76">
        <f>'6.Cons Profit &amp; Loss'!H14</f>
        <v>0</v>
      </c>
    </row>
    <row r="175" spans="2:9">
      <c r="B175" s="74" t="s">
        <v>359</v>
      </c>
      <c r="C175" s="76">
        <f>SUM(C168:C174)</f>
        <v>69740795.879999995</v>
      </c>
      <c r="D175" s="76">
        <f t="shared" ref="D175:I175" si="25">SUM(D168:D174)</f>
        <v>83406861.05219999</v>
      </c>
      <c r="E175" s="76">
        <f t="shared" si="25"/>
        <v>94842188.977410033</v>
      </c>
      <c r="F175" s="76">
        <f t="shared" si="25"/>
        <v>107212532.54251054</v>
      </c>
      <c r="G175" s="76">
        <f t="shared" si="25"/>
        <v>120582804.99167758</v>
      </c>
      <c r="H175" s="76">
        <f t="shared" si="25"/>
        <v>134845946.49878004</v>
      </c>
      <c r="I175" s="76">
        <f t="shared" si="25"/>
        <v>150233945.14411354</v>
      </c>
    </row>
    <row r="176" spans="2:9">
      <c r="B176" s="74" t="s">
        <v>360</v>
      </c>
      <c r="C176" s="76"/>
      <c r="D176" s="76"/>
      <c r="E176" s="76"/>
      <c r="F176" s="76"/>
      <c r="G176" s="76"/>
      <c r="H176" s="76"/>
      <c r="I176" s="76"/>
    </row>
    <row r="177" spans="2:13">
      <c r="B177" s="74" t="s">
        <v>361</v>
      </c>
      <c r="C177" s="76">
        <f>'6.Cons Profit &amp; Loss'!B36</f>
        <v>4841050</v>
      </c>
      <c r="D177" s="76">
        <f>'6.Cons Profit &amp; Loss'!C36</f>
        <v>5086102.5</v>
      </c>
      <c r="E177" s="76">
        <f>'6.Cons Profit &amp; Loss'!D36</f>
        <v>5343707.625</v>
      </c>
      <c r="F177" s="76">
        <f>'6.Cons Profit &amp; Loss'!E36</f>
        <v>5614523.0062500006</v>
      </c>
      <c r="G177" s="76">
        <f>'6.Cons Profit &amp; Loss'!F36</f>
        <v>5899242.1565625016</v>
      </c>
      <c r="H177" s="76">
        <f>'6.Cons Profit &amp; Loss'!G36</f>
        <v>6198596.5643906267</v>
      </c>
      <c r="I177" s="76">
        <f>'6.Cons Profit &amp; Loss'!H36</f>
        <v>5789706.2766726576</v>
      </c>
    </row>
    <row r="178" spans="2:13">
      <c r="B178" s="74" t="s">
        <v>315</v>
      </c>
      <c r="C178" s="76">
        <f>'6.Cons Profit &amp; Loss'!B25*(1-$M$125)</f>
        <v>56164816.474079996</v>
      </c>
      <c r="D178" s="76">
        <f>'6.Cons Profit &amp; Loss'!C25*(1-$M$125)</f>
        <v>66671889.935794003</v>
      </c>
      <c r="E178" s="76">
        <f>'6.Cons Profit &amp; Loss'!D25*(1-$M$125)</f>
        <v>75643312.872943208</v>
      </c>
      <c r="F178" s="76">
        <f>'6.Cons Profit &amp; Loss'!E25*(1-$M$125)</f>
        <v>85345198.378967866</v>
      </c>
      <c r="G178" s="76">
        <f>'6.Cons Profit &amp; Loss'!F25*(1-$M$125)</f>
        <v>95828164.15341261</v>
      </c>
      <c r="H178" s="76">
        <f>'6.Cons Profit &amp; Loss'!G25*(1-$M$125)</f>
        <v>107146063.50935441</v>
      </c>
      <c r="I178" s="76">
        <f>'6.Cons Profit &amp; Loss'!H25*(1-$M$125)</f>
        <v>119356182.39050688</v>
      </c>
    </row>
    <row r="179" spans="2:13">
      <c r="B179" s="74" t="s">
        <v>362</v>
      </c>
      <c r="C179" s="76">
        <f t="shared" ref="C179:I179" si="26">SUM(C177:C178)</f>
        <v>61005866.474079996</v>
      </c>
      <c r="D179" s="76">
        <f t="shared" si="26"/>
        <v>71757992.435793996</v>
      </c>
      <c r="E179" s="76">
        <f t="shared" si="26"/>
        <v>80987020.497943208</v>
      </c>
      <c r="F179" s="76">
        <f t="shared" si="26"/>
        <v>90959721.38521786</v>
      </c>
      <c r="G179" s="76">
        <f t="shared" si="26"/>
        <v>101727406.30997512</v>
      </c>
      <c r="H179" s="76">
        <f t="shared" si="26"/>
        <v>113344660.07374504</v>
      </c>
      <c r="I179" s="76">
        <f t="shared" si="26"/>
        <v>125145888.66717954</v>
      </c>
    </row>
    <row r="180" spans="2:13">
      <c r="B180" s="77" t="s">
        <v>363</v>
      </c>
      <c r="C180" s="324">
        <f t="shared" ref="C180:I180" si="27">+C175-C179</f>
        <v>8734929.4059199989</v>
      </c>
      <c r="D180" s="324">
        <f t="shared" si="27"/>
        <v>11648868.616405994</v>
      </c>
      <c r="E180" s="324">
        <f t="shared" si="27"/>
        <v>13855168.479466826</v>
      </c>
      <c r="F180" s="324">
        <f t="shared" si="27"/>
        <v>16252811.157292679</v>
      </c>
      <c r="G180" s="324">
        <f t="shared" si="27"/>
        <v>18855398.681702465</v>
      </c>
      <c r="H180" s="324">
        <f t="shared" si="27"/>
        <v>21501286.425035</v>
      </c>
      <c r="I180" s="324">
        <f t="shared" si="27"/>
        <v>25088056.476934001</v>
      </c>
    </row>
    <row r="182" spans="2:13" ht="41.1" customHeight="1">
      <c r="B182" s="473" t="s">
        <v>563</v>
      </c>
      <c r="C182" s="473"/>
      <c r="D182" s="473"/>
      <c r="E182" s="473"/>
      <c r="F182" s="473"/>
      <c r="G182" s="473"/>
      <c r="H182" s="473"/>
      <c r="I182" s="473"/>
      <c r="J182" s="331"/>
      <c r="K182" s="331"/>
      <c r="L182" s="331"/>
      <c r="M182" s="331"/>
    </row>
    <row r="193" spans="2:9">
      <c r="B193" t="s">
        <v>738</v>
      </c>
      <c r="C193">
        <f>'6.Cons Profit &amp; Loss'!B15/'7.Balance Sheet'!B13</f>
        <v>2.2111239023412184</v>
      </c>
      <c r="D193">
        <f>'6.Cons Profit &amp; Loss'!C15/'7.Balance Sheet'!C13</f>
        <v>2.7476746524912361</v>
      </c>
      <c r="E193">
        <f>'6.Cons Profit &amp; Loss'!D15/'7.Balance Sheet'!D13</f>
        <v>3.2513616945737631</v>
      </c>
      <c r="F193">
        <f>'6.Cons Profit &amp; Loss'!E15/'7.Balance Sheet'!E13</f>
        <v>3.8311336824486668</v>
      </c>
      <c r="G193">
        <f>'6.Cons Profit &amp; Loss'!F15/'7.Balance Sheet'!F13</f>
        <v>4.4995095771890359</v>
      </c>
      <c r="H193">
        <f>'6.Cons Profit &amp; Loss'!G15/'7.Balance Sheet'!G13</f>
        <v>5.2646118218253921</v>
      </c>
      <c r="I193">
        <f>'6.Cons Profit &amp; Loss'!H15/'7.Balance Sheet'!H13</f>
        <v>6.1500188741731927</v>
      </c>
    </row>
    <row r="194" spans="2:9">
      <c r="B194" t="s">
        <v>739</v>
      </c>
      <c r="C194">
        <f>'7.Balance Sheet'!B28/'7.Balance Sheet'!B41</f>
        <v>0.27356312641919095</v>
      </c>
      <c r="D194">
        <f>'7.Balance Sheet'!C28/'7.Balance Sheet'!C41</f>
        <v>0.2091848374099439</v>
      </c>
      <c r="E194">
        <f>'7.Balance Sheet'!D28/'7.Balance Sheet'!D41</f>
        <v>0.15141663661716237</v>
      </c>
      <c r="F194">
        <f>'7.Balance Sheet'!E28/'7.Balance Sheet'!E41</f>
        <v>0.10189343501060497</v>
      </c>
      <c r="G194">
        <f>'7.Balance Sheet'!F28/'7.Balance Sheet'!F41</f>
        <v>6.0717839873730549E-2</v>
      </c>
      <c r="H194">
        <f>'7.Balance Sheet'!G28/'7.Balance Sheet'!G41</f>
        <v>2.7082005733675744E-2</v>
      </c>
      <c r="I194" s="1">
        <f>'7.Balance Sheet'!H28/'7.Balance Sheet'!H41</f>
        <v>0</v>
      </c>
    </row>
  </sheetData>
  <mergeCells count="20">
    <mergeCell ref="B3:J3"/>
    <mergeCell ref="B24:I24"/>
    <mergeCell ref="B52:I52"/>
    <mergeCell ref="B22:J22"/>
    <mergeCell ref="B49:J49"/>
    <mergeCell ref="B182:I182"/>
    <mergeCell ref="B121:I121"/>
    <mergeCell ref="K121:R121"/>
    <mergeCell ref="D18:J18"/>
    <mergeCell ref="D20:J20"/>
    <mergeCell ref="B73:J73"/>
    <mergeCell ref="B86:I86"/>
    <mergeCell ref="B101:J101"/>
    <mergeCell ref="B119:J119"/>
    <mergeCell ref="B103:I103"/>
    <mergeCell ref="B74:I74"/>
    <mergeCell ref="C80:I80"/>
    <mergeCell ref="C81:I81"/>
    <mergeCell ref="C83:I83"/>
    <mergeCell ref="B88:J88"/>
  </mergeCells>
  <hyperlinks>
    <hyperlink ref="B22" r:id="rId1" display="https://www.investopedia.com/terms/d/discountrate.asp"/>
  </hyperlinks>
  <pageMargins left="0.7" right="0.7" top="0.75" bottom="0.75" header="0.3" footer="0.3"/>
  <pageSetup scale="24" orientation="portrait" r:id="rId2"/>
  <rowBreaks count="2" manualBreakCount="2">
    <brk id="73" min="1" max="12" man="1"/>
    <brk id="151" min="1" max="12"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Normal="100" zoomScaleSheetLayoutView="80" workbookViewId="0">
      <selection sqref="A1:H114"/>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38" t="s">
        <v>623</v>
      </c>
      <c r="B1" s="438"/>
      <c r="C1" s="438"/>
      <c r="D1" s="438"/>
      <c r="E1" s="438"/>
      <c r="F1" s="438"/>
      <c r="G1" s="438"/>
      <c r="H1" s="438"/>
    </row>
    <row r="2" spans="1:26">
      <c r="B2" s="4"/>
    </row>
    <row r="3" spans="1:26" ht="18.75">
      <c r="A3" s="485" t="s">
        <v>592</v>
      </c>
      <c r="B3" s="485"/>
    </row>
    <row r="4" spans="1:26">
      <c r="A4" s="278" t="s">
        <v>0</v>
      </c>
      <c r="B4" s="296" t="s">
        <v>400</v>
      </c>
      <c r="C4" s="297"/>
      <c r="D4" s="297"/>
      <c r="E4" s="297"/>
      <c r="F4" s="297"/>
      <c r="G4" s="297"/>
      <c r="H4" s="297"/>
    </row>
    <row r="5" spans="1:26">
      <c r="A5" s="10" t="s">
        <v>516</v>
      </c>
      <c r="B5" s="274">
        <v>704</v>
      </c>
      <c r="C5" s="298"/>
      <c r="D5" s="299"/>
      <c r="E5" s="299"/>
      <c r="F5" s="299"/>
      <c r="G5" s="299"/>
      <c r="H5" s="299"/>
    </row>
    <row r="6" spans="1:26">
      <c r="A6" s="10" t="s">
        <v>517</v>
      </c>
      <c r="B6" s="274">
        <v>0</v>
      </c>
      <c r="C6" s="298"/>
      <c r="D6" s="299"/>
      <c r="E6" s="299"/>
      <c r="F6" s="299"/>
      <c r="G6" s="299"/>
      <c r="H6" s="299"/>
    </row>
    <row r="7" spans="1:26">
      <c r="A7" s="2" t="s">
        <v>1</v>
      </c>
      <c r="B7" s="322">
        <f>B5+B6</f>
        <v>704</v>
      </c>
      <c r="C7" s="300"/>
      <c r="D7" s="301"/>
      <c r="E7" s="301"/>
      <c r="F7" s="301"/>
      <c r="G7" s="301"/>
      <c r="H7" s="301"/>
    </row>
    <row r="8" spans="1:26">
      <c r="A8" s="2" t="s">
        <v>518</v>
      </c>
      <c r="B8" s="321">
        <v>2</v>
      </c>
      <c r="C8" s="300"/>
      <c r="D8" s="300"/>
      <c r="E8" s="300"/>
      <c r="F8" s="300"/>
      <c r="G8" s="300"/>
      <c r="H8" s="300"/>
    </row>
    <row r="9" spans="1:26">
      <c r="A9" s="2" t="s">
        <v>523</v>
      </c>
      <c r="B9" s="322">
        <f>B7*B8</f>
        <v>1408</v>
      </c>
      <c r="C9" s="301"/>
      <c r="D9" s="301"/>
      <c r="E9" s="301"/>
      <c r="F9" s="301"/>
      <c r="G9" s="301"/>
      <c r="H9" s="301"/>
    </row>
    <row r="10" spans="1:26">
      <c r="J10" t="s">
        <v>471</v>
      </c>
      <c r="O10" t="s">
        <v>467</v>
      </c>
      <c r="U10" t="s">
        <v>468</v>
      </c>
      <c r="Y10" t="s">
        <v>469</v>
      </c>
      <c r="Z10" t="s">
        <v>470</v>
      </c>
    </row>
    <row r="11" spans="1:26" ht="18.75">
      <c r="A11" s="438" t="s">
        <v>593</v>
      </c>
      <c r="B11" s="438"/>
      <c r="C11" s="438"/>
      <c r="D11" s="438"/>
      <c r="E11" s="438"/>
      <c r="F11" s="438"/>
      <c r="G11" s="438"/>
      <c r="H11" s="438"/>
      <c r="I11" s="273"/>
      <c r="J11" s="273"/>
      <c r="K11" s="273"/>
      <c r="L11" s="273"/>
      <c r="M11" s="273"/>
      <c r="N11" s="273"/>
      <c r="O11" s="273"/>
      <c r="P11" s="273"/>
    </row>
    <row r="12" spans="1:26">
      <c r="J12" s="3">
        <v>0.65</v>
      </c>
      <c r="K12" s="292">
        <f>J12+0.05</f>
        <v>0.70000000000000007</v>
      </c>
      <c r="L12" s="292">
        <f t="shared" ref="L12:N12" si="0">K12+0.05</f>
        <v>0.75000000000000011</v>
      </c>
      <c r="M12" s="292">
        <f t="shared" si="0"/>
        <v>0.80000000000000016</v>
      </c>
      <c r="N12" s="29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8" t="s">
        <v>404</v>
      </c>
      <c r="B13" s="278" t="s">
        <v>405</v>
      </c>
      <c r="C13" s="279" t="s">
        <v>464</v>
      </c>
      <c r="D13" s="279" t="s">
        <v>472</v>
      </c>
      <c r="E13" s="279" t="s">
        <v>473</v>
      </c>
      <c r="F13" s="279" t="s">
        <v>406</v>
      </c>
      <c r="G13" s="279" t="s">
        <v>667</v>
      </c>
      <c r="H13" s="279" t="s">
        <v>407</v>
      </c>
      <c r="O13" s="291" t="s">
        <v>2</v>
      </c>
      <c r="P13" s="291" t="s">
        <v>3</v>
      </c>
      <c r="Q13" s="291" t="s">
        <v>4</v>
      </c>
      <c r="R13" s="291" t="s">
        <v>5</v>
      </c>
      <c r="S13" s="291" t="s">
        <v>6</v>
      </c>
      <c r="T13" s="291" t="s">
        <v>2</v>
      </c>
      <c r="U13" s="291" t="s">
        <v>3</v>
      </c>
      <c r="V13" s="291" t="s">
        <v>4</v>
      </c>
      <c r="W13" s="291" t="s">
        <v>5</v>
      </c>
      <c r="X13" s="291" t="s">
        <v>6</v>
      </c>
    </row>
    <row r="14" spans="1:26">
      <c r="A14" s="489" t="s">
        <v>408</v>
      </c>
      <c r="B14" s="274" t="s">
        <v>169</v>
      </c>
      <c r="C14" s="289">
        <v>0.9</v>
      </c>
      <c r="D14" s="10">
        <f>$B$9*C14</f>
        <v>1267.2</v>
      </c>
      <c r="E14" s="275">
        <v>15</v>
      </c>
      <c r="F14" s="10">
        <f>D14*E14</f>
        <v>19008</v>
      </c>
      <c r="G14" s="290">
        <v>0.1</v>
      </c>
      <c r="H14" s="10">
        <f>(F14-F14*G14)</f>
        <v>17107.2</v>
      </c>
      <c r="J14">
        <f>$D$14*J12</f>
        <v>823.68000000000006</v>
      </c>
      <c r="K14">
        <f>$D$14*K12</f>
        <v>887.04000000000008</v>
      </c>
      <c r="L14">
        <f>$D$14*L12</f>
        <v>950.4000000000002</v>
      </c>
      <c r="M14">
        <f>$D$14*M12</f>
        <v>1013.7600000000002</v>
      </c>
      <c r="N14">
        <f>$D$14*N12</f>
        <v>1077.1200000000003</v>
      </c>
    </row>
    <row r="15" spans="1:26">
      <c r="A15" s="490"/>
      <c r="B15" s="274" t="s">
        <v>496</v>
      </c>
      <c r="C15" s="289">
        <v>0</v>
      </c>
      <c r="D15" s="10">
        <f t="shared" ref="D15:D22" si="3">$B$9*C15</f>
        <v>0</v>
      </c>
      <c r="E15" s="275">
        <v>7</v>
      </c>
      <c r="F15" s="10">
        <f t="shared" ref="F15:F36" si="4">D15*E15</f>
        <v>0</v>
      </c>
      <c r="G15" s="290">
        <v>0.05</v>
      </c>
      <c r="H15" s="10">
        <f>(F15-F15*G15)</f>
        <v>0</v>
      </c>
    </row>
    <row r="16" spans="1:26">
      <c r="A16" s="490"/>
      <c r="B16" s="274" t="s">
        <v>495</v>
      </c>
      <c r="C16" s="289">
        <v>0</v>
      </c>
      <c r="D16" s="10">
        <f t="shared" si="3"/>
        <v>0</v>
      </c>
      <c r="E16" s="275">
        <v>4</v>
      </c>
      <c r="F16" s="10">
        <f t="shared" si="4"/>
        <v>0</v>
      </c>
      <c r="G16" s="290">
        <v>0</v>
      </c>
      <c r="H16" s="10">
        <f t="shared" ref="H16:H36" si="5">(F16-F16*G16)</f>
        <v>0</v>
      </c>
    </row>
    <row r="17" spans="1:8">
      <c r="A17" s="490"/>
      <c r="B17" s="274" t="s">
        <v>493</v>
      </c>
      <c r="C17" s="289">
        <v>0</v>
      </c>
      <c r="D17" s="10">
        <f t="shared" si="3"/>
        <v>0</v>
      </c>
      <c r="E17" s="275">
        <v>7</v>
      </c>
      <c r="F17" s="10">
        <f t="shared" si="4"/>
        <v>0</v>
      </c>
      <c r="G17" s="290">
        <v>0.02</v>
      </c>
      <c r="H17" s="10">
        <f t="shared" si="5"/>
        <v>0</v>
      </c>
    </row>
    <row r="18" spans="1:8">
      <c r="A18" s="490"/>
      <c r="B18" s="274" t="s">
        <v>409</v>
      </c>
      <c r="C18" s="289">
        <v>0</v>
      </c>
      <c r="D18" s="10">
        <f t="shared" si="3"/>
        <v>0</v>
      </c>
      <c r="E18" s="275">
        <v>20</v>
      </c>
      <c r="F18" s="10">
        <f t="shared" si="4"/>
        <v>0</v>
      </c>
      <c r="G18" s="290">
        <v>0</v>
      </c>
      <c r="H18" s="10">
        <f t="shared" si="5"/>
        <v>0</v>
      </c>
    </row>
    <row r="19" spans="1:8">
      <c r="A19" s="490"/>
      <c r="B19" s="274" t="s">
        <v>494</v>
      </c>
      <c r="C19" s="289">
        <v>0</v>
      </c>
      <c r="D19" s="10">
        <f t="shared" si="3"/>
        <v>0</v>
      </c>
      <c r="E19" s="275">
        <v>7</v>
      </c>
      <c r="F19" s="10">
        <f t="shared" si="4"/>
        <v>0</v>
      </c>
      <c r="G19" s="290">
        <v>0.1</v>
      </c>
      <c r="H19" s="10">
        <f t="shared" si="5"/>
        <v>0</v>
      </c>
    </row>
    <row r="20" spans="1:8">
      <c r="A20" s="490"/>
      <c r="B20" s="274" t="s">
        <v>487</v>
      </c>
      <c r="C20" s="289">
        <v>0</v>
      </c>
      <c r="D20" s="10">
        <f t="shared" si="3"/>
        <v>0</v>
      </c>
      <c r="E20" s="275">
        <v>6</v>
      </c>
      <c r="F20" s="10">
        <f t="shared" si="4"/>
        <v>0</v>
      </c>
      <c r="G20" s="290">
        <v>0.02</v>
      </c>
      <c r="H20" s="10">
        <f t="shared" si="5"/>
        <v>0</v>
      </c>
    </row>
    <row r="21" spans="1:8">
      <c r="A21" s="490"/>
      <c r="B21" s="274" t="s">
        <v>413</v>
      </c>
      <c r="C21" s="289">
        <v>0</v>
      </c>
      <c r="D21" s="10">
        <f t="shared" si="3"/>
        <v>0</v>
      </c>
      <c r="E21" s="275"/>
      <c r="F21" s="10">
        <f t="shared" si="4"/>
        <v>0</v>
      </c>
      <c r="G21" s="290">
        <v>0</v>
      </c>
      <c r="H21" s="10">
        <f t="shared" si="5"/>
        <v>0</v>
      </c>
    </row>
    <row r="22" spans="1:8">
      <c r="A22" s="491"/>
      <c r="B22" s="274" t="s">
        <v>497</v>
      </c>
      <c r="C22" s="289">
        <v>0</v>
      </c>
      <c r="D22" s="10">
        <f t="shared" si="3"/>
        <v>0</v>
      </c>
      <c r="E22" s="275"/>
      <c r="F22" s="10">
        <f t="shared" si="4"/>
        <v>0</v>
      </c>
      <c r="G22" s="290">
        <v>0</v>
      </c>
      <c r="H22" s="10">
        <f t="shared" si="5"/>
        <v>0</v>
      </c>
    </row>
    <row r="23" spans="1:8">
      <c r="A23" s="304" t="s">
        <v>501</v>
      </c>
      <c r="B23" s="314">
        <v>0.5</v>
      </c>
      <c r="C23" s="316">
        <f>B9*B23</f>
        <v>704</v>
      </c>
      <c r="D23" s="10"/>
      <c r="E23" s="275"/>
      <c r="F23" s="10"/>
      <c r="G23" s="290"/>
      <c r="H23" s="10"/>
    </row>
    <row r="24" spans="1:8">
      <c r="A24" s="489" t="s">
        <v>410</v>
      </c>
      <c r="B24" s="274" t="s">
        <v>411</v>
      </c>
      <c r="C24" s="289">
        <v>0</v>
      </c>
      <c r="D24" s="10">
        <f>C$23*C24</f>
        <v>0</v>
      </c>
      <c r="E24" s="275">
        <v>10</v>
      </c>
      <c r="F24" s="10">
        <f t="shared" si="4"/>
        <v>0</v>
      </c>
      <c r="G24" s="290">
        <v>0.1</v>
      </c>
      <c r="H24" s="10">
        <f t="shared" si="5"/>
        <v>0</v>
      </c>
    </row>
    <row r="25" spans="1:8">
      <c r="A25" s="490"/>
      <c r="B25" s="274" t="s">
        <v>412</v>
      </c>
      <c r="C25" s="289">
        <v>0.4</v>
      </c>
      <c r="D25" s="10">
        <f>C$23*C25</f>
        <v>281.60000000000002</v>
      </c>
      <c r="E25" s="275">
        <v>10</v>
      </c>
      <c r="F25" s="10">
        <f t="shared" si="4"/>
        <v>2816</v>
      </c>
      <c r="G25" s="290">
        <v>0.1</v>
      </c>
      <c r="H25" s="10">
        <f t="shared" si="5"/>
        <v>2534.4</v>
      </c>
    </row>
    <row r="26" spans="1:8">
      <c r="A26" s="490"/>
      <c r="B26" s="274" t="s">
        <v>413</v>
      </c>
      <c r="C26" s="289">
        <v>0</v>
      </c>
      <c r="D26" s="10">
        <f>C$23*C26</f>
        <v>0</v>
      </c>
      <c r="E26" s="275">
        <v>10</v>
      </c>
      <c r="F26" s="10">
        <f t="shared" si="4"/>
        <v>0</v>
      </c>
      <c r="G26" s="290">
        <v>0.05</v>
      </c>
      <c r="H26" s="10">
        <f t="shared" si="5"/>
        <v>0</v>
      </c>
    </row>
    <row r="27" spans="1:8">
      <c r="A27" s="490"/>
      <c r="B27" s="274" t="s">
        <v>409</v>
      </c>
      <c r="C27" s="289">
        <v>0</v>
      </c>
      <c r="D27" s="10">
        <f t="shared" ref="D27:D31" si="6">C$23*C27</f>
        <v>0</v>
      </c>
      <c r="E27" s="275">
        <v>20</v>
      </c>
      <c r="F27" s="10">
        <f t="shared" si="4"/>
        <v>0</v>
      </c>
      <c r="G27" s="290">
        <v>0</v>
      </c>
      <c r="H27" s="10">
        <f t="shared" si="5"/>
        <v>0</v>
      </c>
    </row>
    <row r="28" spans="1:8">
      <c r="A28" s="490"/>
      <c r="B28" s="274" t="s">
        <v>498</v>
      </c>
      <c r="C28" s="289">
        <v>0</v>
      </c>
      <c r="D28" s="10">
        <f t="shared" si="6"/>
        <v>0</v>
      </c>
      <c r="E28" s="275"/>
      <c r="F28" s="10">
        <f t="shared" si="4"/>
        <v>0</v>
      </c>
      <c r="G28" s="290">
        <v>0</v>
      </c>
      <c r="H28" s="10">
        <f t="shared" si="5"/>
        <v>0</v>
      </c>
    </row>
    <row r="29" spans="1:8">
      <c r="A29" s="490"/>
      <c r="B29" s="274"/>
      <c r="C29" s="289">
        <v>0</v>
      </c>
      <c r="D29" s="10">
        <f t="shared" si="6"/>
        <v>0</v>
      </c>
      <c r="E29" s="275"/>
      <c r="F29" s="10">
        <f t="shared" si="4"/>
        <v>0</v>
      </c>
      <c r="G29" s="290">
        <v>0</v>
      </c>
      <c r="H29" s="10">
        <f t="shared" si="5"/>
        <v>0</v>
      </c>
    </row>
    <row r="30" spans="1:8">
      <c r="A30" s="490"/>
      <c r="B30" s="274"/>
      <c r="C30" s="289">
        <v>0</v>
      </c>
      <c r="D30" s="10">
        <f t="shared" si="6"/>
        <v>0</v>
      </c>
      <c r="E30" s="275"/>
      <c r="F30" s="10">
        <f t="shared" si="4"/>
        <v>0</v>
      </c>
      <c r="G30" s="290">
        <v>0</v>
      </c>
      <c r="H30" s="10">
        <f t="shared" si="5"/>
        <v>0</v>
      </c>
    </row>
    <row r="31" spans="1:8">
      <c r="A31" s="491"/>
      <c r="B31" s="274"/>
      <c r="C31" s="289">
        <v>0</v>
      </c>
      <c r="D31" s="10">
        <f t="shared" si="6"/>
        <v>0</v>
      </c>
      <c r="E31" s="275"/>
      <c r="F31" s="10">
        <f t="shared" si="4"/>
        <v>0</v>
      </c>
      <c r="G31" s="290">
        <v>0</v>
      </c>
      <c r="H31" s="10">
        <f t="shared" si="5"/>
        <v>0</v>
      </c>
    </row>
    <row r="32" spans="1:8">
      <c r="A32" s="304" t="s">
        <v>500</v>
      </c>
      <c r="B32" s="314">
        <v>0</v>
      </c>
      <c r="C32" s="283">
        <f>B9*B32</f>
        <v>0</v>
      </c>
      <c r="D32" s="10"/>
      <c r="E32" s="275"/>
      <c r="F32" s="10"/>
      <c r="G32" s="290"/>
      <c r="H32" s="10"/>
    </row>
    <row r="33" spans="1:8">
      <c r="A33" s="317" t="s">
        <v>478</v>
      </c>
      <c r="B33" s="274" t="s">
        <v>499</v>
      </c>
      <c r="C33" s="289">
        <v>0</v>
      </c>
      <c r="D33" s="10">
        <f>C$32*C33</f>
        <v>0</v>
      </c>
      <c r="E33" s="275"/>
      <c r="F33" s="10">
        <f t="shared" si="4"/>
        <v>0</v>
      </c>
      <c r="G33" s="290">
        <v>0</v>
      </c>
      <c r="H33" s="10">
        <f t="shared" si="5"/>
        <v>0</v>
      </c>
    </row>
    <row r="34" spans="1:8">
      <c r="A34" s="318"/>
      <c r="B34" s="274"/>
      <c r="C34" s="289">
        <v>0</v>
      </c>
      <c r="D34" s="10">
        <f>C$32*C34</f>
        <v>0</v>
      </c>
      <c r="E34" s="275"/>
      <c r="F34" s="10">
        <f t="shared" si="4"/>
        <v>0</v>
      </c>
      <c r="G34" s="290">
        <v>0</v>
      </c>
      <c r="H34" s="10">
        <f t="shared" si="5"/>
        <v>0</v>
      </c>
    </row>
    <row r="35" spans="1:8">
      <c r="A35" s="318"/>
      <c r="B35" s="274"/>
      <c r="C35" s="289">
        <v>0</v>
      </c>
      <c r="D35" s="10">
        <f>C$32*C35</f>
        <v>0</v>
      </c>
      <c r="E35" s="275"/>
      <c r="F35" s="10">
        <f t="shared" si="4"/>
        <v>0</v>
      </c>
      <c r="G35" s="290">
        <v>0</v>
      </c>
      <c r="H35" s="10">
        <f t="shared" si="5"/>
        <v>0</v>
      </c>
    </row>
    <row r="36" spans="1:8">
      <c r="A36" s="319"/>
      <c r="B36" s="274"/>
      <c r="C36" s="289">
        <v>0</v>
      </c>
      <c r="D36" s="10">
        <f>C$32*C36</f>
        <v>0</v>
      </c>
      <c r="E36" s="275"/>
      <c r="F36" s="10">
        <f t="shared" si="4"/>
        <v>0</v>
      </c>
      <c r="G36" s="290">
        <v>0</v>
      </c>
      <c r="H36" s="10">
        <f t="shared" si="5"/>
        <v>0</v>
      </c>
    </row>
    <row r="37" spans="1:8">
      <c r="A37" s="488" t="s">
        <v>414</v>
      </c>
      <c r="B37" s="488"/>
      <c r="C37" s="488"/>
      <c r="D37" s="488"/>
      <c r="E37" s="488"/>
      <c r="F37" s="488"/>
      <c r="G37" s="488"/>
      <c r="H37" s="488"/>
    </row>
    <row r="39" spans="1:8" ht="18.75">
      <c r="A39" s="492" t="s">
        <v>594</v>
      </c>
      <c r="B39" s="493"/>
      <c r="C39" s="493"/>
      <c r="D39" s="493"/>
      <c r="E39" s="493"/>
      <c r="F39" s="493"/>
      <c r="G39" s="493"/>
      <c r="H39" s="494"/>
    </row>
    <row r="40" spans="1:8">
      <c r="A40" s="495" t="s">
        <v>0</v>
      </c>
      <c r="B40" s="305">
        <v>0.5</v>
      </c>
      <c r="C40" s="305">
        <f>B40+0.05</f>
        <v>0.55000000000000004</v>
      </c>
      <c r="D40" s="305">
        <f t="shared" ref="D40:G40" si="7">C40+0.05</f>
        <v>0.60000000000000009</v>
      </c>
      <c r="E40" s="305">
        <f t="shared" si="7"/>
        <v>0.65000000000000013</v>
      </c>
      <c r="F40" s="305">
        <f t="shared" si="7"/>
        <v>0.70000000000000018</v>
      </c>
      <c r="G40" s="305">
        <f t="shared" si="7"/>
        <v>0.75000000000000022</v>
      </c>
      <c r="H40" s="305">
        <f>G40+0.05</f>
        <v>0.80000000000000027</v>
      </c>
    </row>
    <row r="41" spans="1:8">
      <c r="A41" s="496"/>
      <c r="B41" s="296" t="s">
        <v>2</v>
      </c>
      <c r="C41" s="296" t="s">
        <v>3</v>
      </c>
      <c r="D41" s="296" t="s">
        <v>4</v>
      </c>
      <c r="E41" s="296" t="s">
        <v>5</v>
      </c>
      <c r="F41" s="296" t="s">
        <v>6</v>
      </c>
      <c r="G41" s="296" t="s">
        <v>171</v>
      </c>
      <c r="H41" s="296" t="s">
        <v>170</v>
      </c>
    </row>
    <row r="42" spans="1:8">
      <c r="A42" s="10" t="str">
        <f t="shared" ref="A42:A50" si="8">B14</f>
        <v>Soybean</v>
      </c>
      <c r="B42" s="10">
        <f t="shared" ref="B42:B50" si="9">H14*$B$40</f>
        <v>8553.6</v>
      </c>
      <c r="C42" s="10">
        <f t="shared" ref="C42:H51" si="10">(B42/B$40)*C$40</f>
        <v>9408.9600000000009</v>
      </c>
      <c r="D42" s="10">
        <f t="shared" si="10"/>
        <v>10264.320000000002</v>
      </c>
      <c r="E42" s="10">
        <f t="shared" si="10"/>
        <v>11119.680000000002</v>
      </c>
      <c r="F42" s="10">
        <f t="shared" si="10"/>
        <v>11975.040000000003</v>
      </c>
      <c r="G42" s="10">
        <f t="shared" si="10"/>
        <v>12830.400000000005</v>
      </c>
      <c r="H42" s="10">
        <f t="shared" si="10"/>
        <v>13685.760000000006</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1267.2</v>
      </c>
      <c r="C52" s="10">
        <f t="shared" ref="C52:H61" si="13">(B52/B$40)*C$40</f>
        <v>1393.92</v>
      </c>
      <c r="D52" s="10">
        <f t="shared" si="13"/>
        <v>1520.6400000000003</v>
      </c>
      <c r="E52" s="10">
        <f t="shared" si="13"/>
        <v>1647.3600000000004</v>
      </c>
      <c r="F52" s="10">
        <f t="shared" si="13"/>
        <v>1774.0800000000006</v>
      </c>
      <c r="G52" s="10">
        <f t="shared" si="13"/>
        <v>1900.8000000000006</v>
      </c>
      <c r="H52" s="10">
        <f t="shared" si="13"/>
        <v>2027.5200000000007</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97" t="s">
        <v>595</v>
      </c>
      <c r="B64" s="498"/>
      <c r="C64" s="498"/>
      <c r="D64" s="498"/>
      <c r="E64" s="498"/>
      <c r="F64" s="498"/>
      <c r="G64" s="498"/>
      <c r="H64" s="499"/>
    </row>
    <row r="65" spans="1:8">
      <c r="A65" s="500" t="s">
        <v>0</v>
      </c>
      <c r="B65" s="306">
        <v>0.1</v>
      </c>
      <c r="C65" s="306">
        <f>B65+0.05</f>
        <v>0.15000000000000002</v>
      </c>
      <c r="D65" s="306">
        <f t="shared" ref="D65:G65" si="15">C65+0.05</f>
        <v>0.2</v>
      </c>
      <c r="E65" s="306">
        <f t="shared" si="15"/>
        <v>0.25</v>
      </c>
      <c r="F65" s="306">
        <f t="shared" si="15"/>
        <v>0.3</v>
      </c>
      <c r="G65" s="306">
        <f t="shared" si="15"/>
        <v>0.35</v>
      </c>
      <c r="H65" s="306">
        <f>G65+0.05</f>
        <v>0.39999999999999997</v>
      </c>
    </row>
    <row r="66" spans="1:8">
      <c r="A66" s="501"/>
      <c r="B66" s="296" t="s">
        <v>2</v>
      </c>
      <c r="C66" s="296" t="s">
        <v>3</v>
      </c>
      <c r="D66" s="296" t="s">
        <v>4</v>
      </c>
      <c r="E66" s="296" t="s">
        <v>5</v>
      </c>
      <c r="F66" s="296" t="s">
        <v>6</v>
      </c>
      <c r="G66" s="296" t="s">
        <v>171</v>
      </c>
      <c r="H66" s="296" t="s">
        <v>170</v>
      </c>
    </row>
    <row r="67" spans="1:8" s="13" customFormat="1">
      <c r="A67" s="10" t="str">
        <f t="shared" ref="A67:A87" si="16">A42</f>
        <v>Soybean</v>
      </c>
      <c r="B67" s="10">
        <f>H14*$B$65</f>
        <v>1710.7200000000003</v>
      </c>
      <c r="C67" s="10">
        <f>(B67/B$65)*C$65</f>
        <v>2566.0800000000004</v>
      </c>
      <c r="D67" s="10">
        <f t="shared" ref="D67:H68" si="17">(C67/C$65)*D$65</f>
        <v>3421.4400000000005</v>
      </c>
      <c r="E67" s="10">
        <f t="shared" si="17"/>
        <v>4276.8</v>
      </c>
      <c r="F67" s="10">
        <f t="shared" si="17"/>
        <v>5132.16</v>
      </c>
      <c r="G67" s="10">
        <f t="shared" si="17"/>
        <v>5987.5199999999995</v>
      </c>
      <c r="H67" s="10">
        <f t="shared" si="17"/>
        <v>6842.88</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253.44000000000003</v>
      </c>
      <c r="C77" s="10">
        <f t="shared" ref="C77:H77" si="28">(B77/B$65)*C$65</f>
        <v>380.16000000000008</v>
      </c>
      <c r="D77" s="10">
        <f t="shared" si="28"/>
        <v>506.88000000000005</v>
      </c>
      <c r="E77" s="10">
        <f t="shared" si="28"/>
        <v>633.6</v>
      </c>
      <c r="F77" s="10">
        <f t="shared" si="28"/>
        <v>760.32</v>
      </c>
      <c r="G77" s="10">
        <f t="shared" si="28"/>
        <v>887.04</v>
      </c>
      <c r="H77" s="10">
        <f t="shared" si="28"/>
        <v>1013.76</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4"/>
      <c r="C88" s="284"/>
      <c r="D88" s="284"/>
      <c r="E88" s="284"/>
      <c r="F88" s="284"/>
      <c r="G88" s="284"/>
      <c r="H88" s="284"/>
      <c r="I88" s="284"/>
    </row>
    <row r="89" spans="1:9">
      <c r="A89" s="502" t="s">
        <v>596</v>
      </c>
      <c r="B89" s="503"/>
      <c r="C89" s="503"/>
      <c r="D89" s="503"/>
      <c r="E89" s="503"/>
      <c r="F89" s="503"/>
      <c r="G89" s="503"/>
      <c r="H89" s="504"/>
    </row>
    <row r="90" spans="1:9">
      <c r="A90" s="486"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87"/>
      <c r="B91" s="296" t="s">
        <v>2</v>
      </c>
      <c r="C91" s="296" t="s">
        <v>3</v>
      </c>
      <c r="D91" s="296" t="s">
        <v>4</v>
      </c>
      <c r="E91" s="296" t="s">
        <v>5</v>
      </c>
      <c r="F91" s="296" t="s">
        <v>6</v>
      </c>
      <c r="G91" s="296" t="s">
        <v>171</v>
      </c>
      <c r="H91" s="296" t="s">
        <v>170</v>
      </c>
    </row>
    <row r="92" spans="1:9" s="13" customFormat="1">
      <c r="A92" s="10" t="str">
        <f t="shared" ref="A92:A112" si="40">A67</f>
        <v>Soybean</v>
      </c>
      <c r="B92" s="10">
        <f t="shared" ref="B92:B100" si="41">D14*$B$90</f>
        <v>823.68000000000006</v>
      </c>
      <c r="C92" s="293">
        <f t="shared" ref="C92:H92" si="42">(B92/B$90)*C$90</f>
        <v>887.04000000000008</v>
      </c>
      <c r="D92" s="293">
        <f t="shared" si="42"/>
        <v>950.4000000000002</v>
      </c>
      <c r="E92" s="293">
        <f t="shared" si="42"/>
        <v>1013.7600000000002</v>
      </c>
      <c r="F92" s="293">
        <f t="shared" si="42"/>
        <v>1077.1200000000003</v>
      </c>
      <c r="G92" s="293">
        <f t="shared" si="42"/>
        <v>1140.4800000000002</v>
      </c>
      <c r="H92" s="293">
        <f t="shared" si="42"/>
        <v>1203.8400000000001</v>
      </c>
    </row>
    <row r="93" spans="1:9">
      <c r="A93" s="10" t="str">
        <f t="shared" si="40"/>
        <v>Red Gram/Tur</v>
      </c>
      <c r="B93" s="10">
        <f t="shared" si="41"/>
        <v>0</v>
      </c>
      <c r="C93" s="293">
        <f t="shared" ref="C93:C113" si="43">(B93/B$90)*C$90</f>
        <v>0</v>
      </c>
      <c r="D93" s="293">
        <f>(C93/C90)*D90</f>
        <v>0</v>
      </c>
      <c r="E93" s="293">
        <f t="shared" ref="E93:G93" si="44">(D93/D90)*E90</f>
        <v>0</v>
      </c>
      <c r="F93" s="293">
        <f t="shared" si="44"/>
        <v>0</v>
      </c>
      <c r="G93" s="293">
        <f t="shared" si="44"/>
        <v>0</v>
      </c>
      <c r="H93" s="293">
        <f>(G93/G90)*H90</f>
        <v>0</v>
      </c>
    </row>
    <row r="94" spans="1:9">
      <c r="A94" s="10" t="str">
        <f t="shared" si="40"/>
        <v>Paddy/Rice</v>
      </c>
      <c r="B94" s="10">
        <f t="shared" si="41"/>
        <v>0</v>
      </c>
      <c r="C94" s="293">
        <f t="shared" si="43"/>
        <v>0</v>
      </c>
      <c r="D94" s="293">
        <f t="shared" ref="D94:H103" si="45">(C94/C$90)*D$90</f>
        <v>0</v>
      </c>
      <c r="E94" s="293">
        <f t="shared" si="45"/>
        <v>0</v>
      </c>
      <c r="F94" s="293">
        <f t="shared" si="45"/>
        <v>0</v>
      </c>
      <c r="G94" s="293">
        <f t="shared" si="45"/>
        <v>0</v>
      </c>
      <c r="H94" s="293">
        <f t="shared" si="45"/>
        <v>0</v>
      </c>
    </row>
    <row r="95" spans="1:9">
      <c r="A95" s="10" t="str">
        <f t="shared" si="40"/>
        <v>Green Gram/ Moong</v>
      </c>
      <c r="B95" s="10">
        <f t="shared" si="41"/>
        <v>0</v>
      </c>
      <c r="C95" s="293">
        <f t="shared" si="43"/>
        <v>0</v>
      </c>
      <c r="D95" s="293">
        <f t="shared" si="45"/>
        <v>0</v>
      </c>
      <c r="E95" s="293">
        <f t="shared" si="45"/>
        <v>0</v>
      </c>
      <c r="F95" s="293">
        <f t="shared" si="45"/>
        <v>0</v>
      </c>
      <c r="G95" s="293">
        <f t="shared" si="45"/>
        <v>0</v>
      </c>
      <c r="H95" s="293">
        <f t="shared" si="45"/>
        <v>0</v>
      </c>
    </row>
    <row r="96" spans="1:9">
      <c r="A96" s="10" t="str">
        <f t="shared" si="40"/>
        <v>Maize</v>
      </c>
      <c r="B96" s="293">
        <f t="shared" si="41"/>
        <v>0</v>
      </c>
      <c r="C96" s="293">
        <f t="shared" si="43"/>
        <v>0</v>
      </c>
      <c r="D96" s="293">
        <f t="shared" si="45"/>
        <v>0</v>
      </c>
      <c r="E96" s="293">
        <f t="shared" si="45"/>
        <v>0</v>
      </c>
      <c r="F96" s="293">
        <f t="shared" si="45"/>
        <v>0</v>
      </c>
      <c r="G96" s="293">
        <f t="shared" si="45"/>
        <v>0</v>
      </c>
      <c r="H96" s="293">
        <f t="shared" si="45"/>
        <v>0</v>
      </c>
    </row>
    <row r="97" spans="1:8">
      <c r="A97" s="10" t="str">
        <f t="shared" si="40"/>
        <v>Black Gram/Udid</v>
      </c>
      <c r="B97" s="10">
        <f t="shared" si="41"/>
        <v>0</v>
      </c>
      <c r="C97" s="293">
        <f t="shared" si="43"/>
        <v>0</v>
      </c>
      <c r="D97" s="293">
        <f t="shared" si="45"/>
        <v>0</v>
      </c>
      <c r="E97" s="293">
        <f t="shared" si="45"/>
        <v>0</v>
      </c>
      <c r="F97" s="293">
        <f t="shared" si="45"/>
        <v>0</v>
      </c>
      <c r="G97" s="293">
        <f t="shared" si="45"/>
        <v>0</v>
      </c>
      <c r="H97" s="293">
        <f t="shared" si="45"/>
        <v>0</v>
      </c>
    </row>
    <row r="98" spans="1:8">
      <c r="A98" s="10" t="str">
        <f t="shared" si="40"/>
        <v>Bajra</v>
      </c>
      <c r="B98" s="10">
        <f t="shared" si="41"/>
        <v>0</v>
      </c>
      <c r="C98" s="293">
        <f t="shared" si="43"/>
        <v>0</v>
      </c>
      <c r="D98" s="293">
        <f t="shared" si="45"/>
        <v>0</v>
      </c>
      <c r="E98" s="293">
        <f t="shared" si="45"/>
        <v>0</v>
      </c>
      <c r="F98" s="293">
        <f t="shared" si="45"/>
        <v>0</v>
      </c>
      <c r="G98" s="293">
        <f t="shared" si="45"/>
        <v>0</v>
      </c>
      <c r="H98" s="293">
        <f t="shared" si="45"/>
        <v>0</v>
      </c>
    </row>
    <row r="99" spans="1:8">
      <c r="A99" s="10" t="str">
        <f t="shared" si="40"/>
        <v>Jawar</v>
      </c>
      <c r="B99" s="10">
        <f t="shared" si="41"/>
        <v>0</v>
      </c>
      <c r="C99" s="293">
        <f t="shared" si="43"/>
        <v>0</v>
      </c>
      <c r="D99" s="293">
        <f t="shared" si="45"/>
        <v>0</v>
      </c>
      <c r="E99" s="293">
        <f t="shared" si="45"/>
        <v>0</v>
      </c>
      <c r="F99" s="293">
        <f t="shared" si="45"/>
        <v>0</v>
      </c>
      <c r="G99" s="293">
        <f t="shared" si="45"/>
        <v>0</v>
      </c>
      <c r="H99" s="293">
        <f t="shared" si="45"/>
        <v>0</v>
      </c>
    </row>
    <row r="100" spans="1:8">
      <c r="A100" s="10" t="str">
        <f t="shared" si="40"/>
        <v>Sunflower</v>
      </c>
      <c r="B100" s="10">
        <f t="shared" si="41"/>
        <v>0</v>
      </c>
      <c r="C100" s="293">
        <f t="shared" si="43"/>
        <v>0</v>
      </c>
      <c r="D100" s="293">
        <f t="shared" si="45"/>
        <v>0</v>
      </c>
      <c r="E100" s="293">
        <f t="shared" si="45"/>
        <v>0</v>
      </c>
      <c r="F100" s="293">
        <f t="shared" si="45"/>
        <v>0</v>
      </c>
      <c r="G100" s="293">
        <f t="shared" si="45"/>
        <v>0</v>
      </c>
      <c r="H100" s="293">
        <f t="shared" si="45"/>
        <v>0</v>
      </c>
    </row>
    <row r="101" spans="1:8">
      <c r="A101" s="10" t="str">
        <f t="shared" si="40"/>
        <v>Wheat</v>
      </c>
      <c r="B101" s="10">
        <f t="shared" ref="B101:B108" si="46">D24*$B$90</f>
        <v>0</v>
      </c>
      <c r="C101" s="293">
        <f t="shared" si="43"/>
        <v>0</v>
      </c>
      <c r="D101" s="293">
        <f t="shared" si="45"/>
        <v>0</v>
      </c>
      <c r="E101" s="293">
        <f t="shared" si="45"/>
        <v>0</v>
      </c>
      <c r="F101" s="293">
        <f t="shared" si="45"/>
        <v>0</v>
      </c>
      <c r="G101" s="293">
        <f t="shared" si="45"/>
        <v>0</v>
      </c>
      <c r="H101" s="293">
        <f t="shared" si="45"/>
        <v>0</v>
      </c>
    </row>
    <row r="102" spans="1:8">
      <c r="A102" s="10" t="str">
        <f t="shared" si="40"/>
        <v>Bengal Gram/Channa</v>
      </c>
      <c r="B102" s="10">
        <f t="shared" si="46"/>
        <v>183.04000000000002</v>
      </c>
      <c r="C102" s="293">
        <f t="shared" si="43"/>
        <v>197.12000000000003</v>
      </c>
      <c r="D102" s="293">
        <f t="shared" si="45"/>
        <v>211.20000000000005</v>
      </c>
      <c r="E102" s="293">
        <f t="shared" si="45"/>
        <v>225.28000000000006</v>
      </c>
      <c r="F102" s="293">
        <f t="shared" si="45"/>
        <v>239.36000000000007</v>
      </c>
      <c r="G102" s="293">
        <f t="shared" si="45"/>
        <v>253.44000000000008</v>
      </c>
      <c r="H102" s="293">
        <f t="shared" si="45"/>
        <v>267.5200000000001</v>
      </c>
    </row>
    <row r="103" spans="1:8">
      <c r="A103" s="10" t="str">
        <f t="shared" si="40"/>
        <v>Jawar</v>
      </c>
      <c r="B103" s="10">
        <f t="shared" si="46"/>
        <v>0</v>
      </c>
      <c r="C103" s="293">
        <f t="shared" si="43"/>
        <v>0</v>
      </c>
      <c r="D103" s="293">
        <f t="shared" si="45"/>
        <v>0</v>
      </c>
      <c r="E103" s="293">
        <f t="shared" si="45"/>
        <v>0</v>
      </c>
      <c r="F103" s="293">
        <f t="shared" si="45"/>
        <v>0</v>
      </c>
      <c r="G103" s="293">
        <f t="shared" si="45"/>
        <v>0</v>
      </c>
      <c r="H103" s="293">
        <f t="shared" si="45"/>
        <v>0</v>
      </c>
    </row>
    <row r="104" spans="1:8">
      <c r="A104" s="10" t="str">
        <f t="shared" si="40"/>
        <v>Maize</v>
      </c>
      <c r="B104" s="10">
        <f t="shared" si="46"/>
        <v>0</v>
      </c>
      <c r="C104" s="293">
        <f t="shared" si="43"/>
        <v>0</v>
      </c>
      <c r="D104" s="293">
        <f t="shared" ref="D104:H113" si="47">(C104/C$90)*D$90</f>
        <v>0</v>
      </c>
      <c r="E104" s="293">
        <f t="shared" si="47"/>
        <v>0</v>
      </c>
      <c r="F104" s="293">
        <f t="shared" si="47"/>
        <v>0</v>
      </c>
      <c r="G104" s="293">
        <f t="shared" si="47"/>
        <v>0</v>
      </c>
      <c r="H104" s="293">
        <f t="shared" si="47"/>
        <v>0</v>
      </c>
    </row>
    <row r="105" spans="1:8">
      <c r="A105" s="10" t="str">
        <f t="shared" si="40"/>
        <v>Safflower</v>
      </c>
      <c r="B105" s="10">
        <f t="shared" si="46"/>
        <v>0</v>
      </c>
      <c r="C105" s="293">
        <f t="shared" si="43"/>
        <v>0</v>
      </c>
      <c r="D105" s="293">
        <f t="shared" si="47"/>
        <v>0</v>
      </c>
      <c r="E105" s="293">
        <f t="shared" si="47"/>
        <v>0</v>
      </c>
      <c r="F105" s="293">
        <f t="shared" si="47"/>
        <v>0</v>
      </c>
      <c r="G105" s="293">
        <f t="shared" si="47"/>
        <v>0</v>
      </c>
      <c r="H105" s="293">
        <f t="shared" si="47"/>
        <v>0</v>
      </c>
    </row>
    <row r="106" spans="1:8">
      <c r="A106" s="10">
        <f t="shared" si="40"/>
        <v>0</v>
      </c>
      <c r="B106" s="10">
        <f t="shared" si="46"/>
        <v>0</v>
      </c>
      <c r="C106" s="293">
        <f t="shared" si="43"/>
        <v>0</v>
      </c>
      <c r="D106" s="293">
        <f t="shared" si="47"/>
        <v>0</v>
      </c>
      <c r="E106" s="293">
        <f t="shared" si="47"/>
        <v>0</v>
      </c>
      <c r="F106" s="293">
        <f t="shared" si="47"/>
        <v>0</v>
      </c>
      <c r="G106" s="293">
        <f t="shared" si="47"/>
        <v>0</v>
      </c>
      <c r="H106" s="293">
        <f t="shared" si="47"/>
        <v>0</v>
      </c>
    </row>
    <row r="107" spans="1:8">
      <c r="A107" s="10">
        <f t="shared" si="40"/>
        <v>0</v>
      </c>
      <c r="B107" s="10">
        <f t="shared" si="46"/>
        <v>0</v>
      </c>
      <c r="C107" s="293">
        <f t="shared" si="43"/>
        <v>0</v>
      </c>
      <c r="D107" s="293">
        <f t="shared" si="47"/>
        <v>0</v>
      </c>
      <c r="E107" s="293">
        <f t="shared" si="47"/>
        <v>0</v>
      </c>
      <c r="F107" s="293">
        <f t="shared" si="47"/>
        <v>0</v>
      </c>
      <c r="G107" s="293">
        <f t="shared" si="47"/>
        <v>0</v>
      </c>
      <c r="H107" s="293">
        <f t="shared" si="47"/>
        <v>0</v>
      </c>
    </row>
    <row r="108" spans="1:8">
      <c r="A108" s="10">
        <f t="shared" si="40"/>
        <v>0</v>
      </c>
      <c r="B108" s="10">
        <f t="shared" si="46"/>
        <v>0</v>
      </c>
      <c r="C108" s="293">
        <f t="shared" si="43"/>
        <v>0</v>
      </c>
      <c r="D108" s="293">
        <f t="shared" si="47"/>
        <v>0</v>
      </c>
      <c r="E108" s="293">
        <f t="shared" si="47"/>
        <v>0</v>
      </c>
      <c r="F108" s="293">
        <f t="shared" si="47"/>
        <v>0</v>
      </c>
      <c r="G108" s="293">
        <f t="shared" si="47"/>
        <v>0</v>
      </c>
      <c r="H108" s="293">
        <f t="shared" si="47"/>
        <v>0</v>
      </c>
    </row>
    <row r="109" spans="1:8">
      <c r="A109" s="10" t="str">
        <f t="shared" si="40"/>
        <v>Groundnut</v>
      </c>
      <c r="B109" s="10">
        <f>D33*$B$90</f>
        <v>0</v>
      </c>
      <c r="C109" s="293">
        <f t="shared" si="43"/>
        <v>0</v>
      </c>
      <c r="D109" s="293">
        <f t="shared" si="47"/>
        <v>0</v>
      </c>
      <c r="E109" s="293">
        <f t="shared" si="47"/>
        <v>0</v>
      </c>
      <c r="F109" s="293">
        <f t="shared" si="47"/>
        <v>0</v>
      </c>
      <c r="G109" s="293">
        <f t="shared" si="47"/>
        <v>0</v>
      </c>
      <c r="H109" s="293">
        <f t="shared" si="47"/>
        <v>0</v>
      </c>
    </row>
    <row r="110" spans="1:8">
      <c r="A110" s="10">
        <f t="shared" si="40"/>
        <v>0</v>
      </c>
      <c r="B110" s="10">
        <f>D34*$B$90</f>
        <v>0</v>
      </c>
      <c r="C110" s="293">
        <f t="shared" si="43"/>
        <v>0</v>
      </c>
      <c r="D110" s="293">
        <f t="shared" si="47"/>
        <v>0</v>
      </c>
      <c r="E110" s="293">
        <f t="shared" si="47"/>
        <v>0</v>
      </c>
      <c r="F110" s="293">
        <f t="shared" si="47"/>
        <v>0</v>
      </c>
      <c r="G110" s="293">
        <f t="shared" si="47"/>
        <v>0</v>
      </c>
      <c r="H110" s="293">
        <f t="shared" si="47"/>
        <v>0</v>
      </c>
    </row>
    <row r="111" spans="1:8">
      <c r="A111" s="10">
        <f t="shared" si="40"/>
        <v>0</v>
      </c>
      <c r="B111" s="10">
        <f>D34*$B$90</f>
        <v>0</v>
      </c>
      <c r="C111" s="293">
        <f t="shared" si="43"/>
        <v>0</v>
      </c>
      <c r="D111" s="293">
        <f t="shared" si="47"/>
        <v>0</v>
      </c>
      <c r="E111" s="293">
        <f t="shared" si="47"/>
        <v>0</v>
      </c>
      <c r="F111" s="293">
        <f t="shared" si="47"/>
        <v>0</v>
      </c>
      <c r="G111" s="293">
        <f t="shared" si="47"/>
        <v>0</v>
      </c>
      <c r="H111" s="293">
        <f t="shared" si="47"/>
        <v>0</v>
      </c>
    </row>
    <row r="112" spans="1:8">
      <c r="A112" s="10">
        <f t="shared" si="40"/>
        <v>0</v>
      </c>
      <c r="B112" s="10">
        <f>D36*$B$90</f>
        <v>0</v>
      </c>
      <c r="C112" s="293">
        <f t="shared" si="43"/>
        <v>0</v>
      </c>
      <c r="D112" s="293">
        <f t="shared" si="47"/>
        <v>0</v>
      </c>
      <c r="E112" s="293">
        <f t="shared" si="47"/>
        <v>0</v>
      </c>
      <c r="F112" s="293">
        <f t="shared" si="47"/>
        <v>0</v>
      </c>
      <c r="G112" s="293">
        <f t="shared" si="47"/>
        <v>0</v>
      </c>
      <c r="H112" s="293">
        <f t="shared" si="47"/>
        <v>0</v>
      </c>
    </row>
    <row r="113" spans="1:9">
      <c r="A113" s="10"/>
      <c r="B113" s="10">
        <f>D37*$B$90</f>
        <v>0</v>
      </c>
      <c r="C113" s="293">
        <f t="shared" si="43"/>
        <v>0</v>
      </c>
      <c r="D113" s="293">
        <f t="shared" si="47"/>
        <v>0</v>
      </c>
      <c r="E113" s="293">
        <f t="shared" si="47"/>
        <v>0</v>
      </c>
      <c r="F113" s="293">
        <f t="shared" si="47"/>
        <v>0</v>
      </c>
      <c r="G113" s="293">
        <f t="shared" si="47"/>
        <v>0</v>
      </c>
      <c r="H113" s="293">
        <f t="shared" si="47"/>
        <v>0</v>
      </c>
    </row>
    <row r="115" spans="1:9">
      <c r="C115" s="4"/>
      <c r="D115" s="6"/>
      <c r="E115" s="6"/>
      <c r="F115" s="6"/>
      <c r="G115" s="6"/>
      <c r="H115" s="6"/>
      <c r="I115" s="6"/>
    </row>
    <row r="116" spans="1:9">
      <c r="A116" t="s">
        <v>564</v>
      </c>
      <c r="C116" s="294"/>
      <c r="D116" s="294"/>
      <c r="E116" s="294"/>
      <c r="F116" s="294"/>
      <c r="G116" s="294"/>
      <c r="H116" s="294"/>
      <c r="I116" s="294"/>
    </row>
    <row r="117" spans="1:9">
      <c r="A117">
        <v>1</v>
      </c>
      <c r="B117" t="s">
        <v>619</v>
      </c>
    </row>
    <row r="118" spans="1:9">
      <c r="A118">
        <v>2</v>
      </c>
      <c r="B118" t="s">
        <v>620</v>
      </c>
    </row>
    <row r="119" spans="1:9">
      <c r="A119">
        <v>3</v>
      </c>
      <c r="B119" t="s">
        <v>567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2"/>
  <sheetViews>
    <sheetView view="pageBreakPreview" topLeftCell="A102" zoomScale="80" zoomScaleNormal="100" zoomScaleSheetLayoutView="80" workbookViewId="0">
      <selection sqref="A1:H127"/>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38" t="s">
        <v>519</v>
      </c>
      <c r="B1" s="438"/>
      <c r="C1" s="438"/>
      <c r="D1" s="438"/>
      <c r="E1" s="438"/>
      <c r="F1" s="438"/>
      <c r="G1" s="438"/>
      <c r="H1" s="438"/>
    </row>
    <row r="2" spans="1:26">
      <c r="B2" s="4"/>
    </row>
    <row r="3" spans="1:26" ht="18.75">
      <c r="A3" s="485" t="s">
        <v>597</v>
      </c>
      <c r="B3" s="485"/>
    </row>
    <row r="4" spans="1:26">
      <c r="A4" s="278" t="s">
        <v>0</v>
      </c>
      <c r="B4" s="296" t="s">
        <v>400</v>
      </c>
      <c r="C4" s="297"/>
      <c r="D4" s="297"/>
      <c r="E4" s="297"/>
      <c r="F4" s="297"/>
      <c r="G4" s="297"/>
      <c r="H4" s="297"/>
    </row>
    <row r="5" spans="1:26">
      <c r="A5" s="10" t="s">
        <v>512</v>
      </c>
      <c r="B5" s="274"/>
      <c r="C5" s="298"/>
      <c r="D5" s="299"/>
      <c r="E5" s="299"/>
      <c r="F5" s="299"/>
      <c r="G5" s="299"/>
      <c r="H5" s="299"/>
    </row>
    <row r="6" spans="1:26">
      <c r="A6" s="10" t="s">
        <v>513</v>
      </c>
      <c r="B6" s="274"/>
      <c r="C6" s="298"/>
      <c r="D6" s="299"/>
      <c r="E6" s="299"/>
      <c r="F6" s="299"/>
      <c r="G6" s="299"/>
      <c r="H6" s="299"/>
    </row>
    <row r="7" spans="1:26">
      <c r="A7" s="2" t="s">
        <v>1</v>
      </c>
      <c r="B7" s="322">
        <f>B5+B6</f>
        <v>0</v>
      </c>
      <c r="C7" s="300"/>
      <c r="D7" s="301"/>
      <c r="E7" s="301"/>
      <c r="F7" s="301"/>
      <c r="G7" s="301"/>
      <c r="H7" s="301"/>
    </row>
    <row r="8" spans="1:26">
      <c r="A8" s="2" t="s">
        <v>514</v>
      </c>
      <c r="B8" s="321">
        <v>0</v>
      </c>
      <c r="C8" s="300"/>
      <c r="D8" s="300"/>
      <c r="E8" s="300"/>
      <c r="F8" s="300"/>
      <c r="G8" s="300"/>
      <c r="H8" s="300"/>
    </row>
    <row r="9" spans="1:26">
      <c r="A9" s="2" t="s">
        <v>515</v>
      </c>
      <c r="B9" s="322">
        <f>B7*B8</f>
        <v>0</v>
      </c>
      <c r="C9" s="301"/>
      <c r="D9" s="301"/>
      <c r="E9" s="301"/>
      <c r="F9" s="301"/>
      <c r="G9" s="301"/>
      <c r="H9" s="301"/>
    </row>
    <row r="10" spans="1:26">
      <c r="J10" t="s">
        <v>471</v>
      </c>
      <c r="O10" t="s">
        <v>467</v>
      </c>
      <c r="U10" t="s">
        <v>468</v>
      </c>
      <c r="Y10" t="s">
        <v>469</v>
      </c>
      <c r="Z10" t="s">
        <v>470</v>
      </c>
    </row>
    <row r="11" spans="1:26" ht="18.75">
      <c r="A11" s="438" t="s">
        <v>598</v>
      </c>
      <c r="B11" s="438"/>
      <c r="C11" s="438"/>
      <c r="D11" s="438"/>
      <c r="E11" s="438"/>
      <c r="F11" s="438"/>
      <c r="G11" s="438"/>
      <c r="H11" s="438"/>
      <c r="I11" s="273"/>
      <c r="J11" s="273"/>
      <c r="K11" s="273"/>
      <c r="L11" s="273"/>
      <c r="M11" s="273"/>
      <c r="N11" s="273"/>
      <c r="O11" s="273"/>
      <c r="P11" s="273"/>
    </row>
    <row r="12" spans="1:26">
      <c r="J12" s="3">
        <v>0.65</v>
      </c>
      <c r="K12" s="292">
        <f>J12+0.05</f>
        <v>0.70000000000000007</v>
      </c>
      <c r="L12" s="292">
        <f t="shared" ref="L12:N12" si="0">K12+0.05</f>
        <v>0.75000000000000011</v>
      </c>
      <c r="M12" s="292">
        <f t="shared" si="0"/>
        <v>0.80000000000000016</v>
      </c>
      <c r="N12" s="29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8" t="s">
        <v>404</v>
      </c>
      <c r="B13" s="278" t="s">
        <v>405</v>
      </c>
      <c r="C13" s="279" t="s">
        <v>464</v>
      </c>
      <c r="D13" s="279" t="s">
        <v>472</v>
      </c>
      <c r="E13" s="279" t="s">
        <v>473</v>
      </c>
      <c r="F13" s="279" t="s">
        <v>406</v>
      </c>
      <c r="G13" s="279" t="s">
        <v>667</v>
      </c>
      <c r="H13" s="279" t="s">
        <v>407</v>
      </c>
      <c r="O13" s="291" t="s">
        <v>2</v>
      </c>
      <c r="P13" s="291" t="s">
        <v>3</v>
      </c>
      <c r="Q13" s="291" t="s">
        <v>4</v>
      </c>
      <c r="R13" s="291" t="s">
        <v>5</v>
      </c>
      <c r="S13" s="291" t="s">
        <v>6</v>
      </c>
      <c r="T13" s="291" t="s">
        <v>2</v>
      </c>
      <c r="U13" s="291" t="s">
        <v>3</v>
      </c>
      <c r="V13" s="291" t="s">
        <v>4</v>
      </c>
      <c r="W13" s="291" t="s">
        <v>5</v>
      </c>
      <c r="X13" s="291" t="s">
        <v>6</v>
      </c>
    </row>
    <row r="14" spans="1:26">
      <c r="A14" s="489" t="s">
        <v>408</v>
      </c>
      <c r="B14" s="274" t="s">
        <v>502</v>
      </c>
      <c r="C14" s="289">
        <v>0</v>
      </c>
      <c r="D14" s="10">
        <f t="shared" ref="D14:D40" si="3">$B$9*C14</f>
        <v>0</v>
      </c>
      <c r="E14" s="275">
        <v>15</v>
      </c>
      <c r="F14" s="10">
        <f>D14*E14</f>
        <v>0</v>
      </c>
      <c r="G14" s="290">
        <v>0.1</v>
      </c>
      <c r="H14" s="10">
        <f>(F14-F14*G14)</f>
        <v>0</v>
      </c>
      <c r="J14">
        <f>$D$14*J12</f>
        <v>0</v>
      </c>
      <c r="K14">
        <f>$D$14*K12</f>
        <v>0</v>
      </c>
      <c r="L14">
        <f>$D$14*L12</f>
        <v>0</v>
      </c>
      <c r="M14">
        <f>$D$14*M12</f>
        <v>0</v>
      </c>
      <c r="N14">
        <f>$D$14*N12</f>
        <v>0</v>
      </c>
    </row>
    <row r="15" spans="1:26">
      <c r="A15" s="490"/>
      <c r="B15" s="274" t="s">
        <v>503</v>
      </c>
      <c r="C15" s="289">
        <v>0</v>
      </c>
      <c r="D15" s="10">
        <f t="shared" si="3"/>
        <v>0</v>
      </c>
      <c r="E15" s="275">
        <v>7</v>
      </c>
      <c r="F15" s="10">
        <f t="shared" ref="F15:F40" si="4">D15*E15</f>
        <v>0</v>
      </c>
      <c r="G15" s="290">
        <v>0.05</v>
      </c>
      <c r="H15" s="10">
        <f>(F15-F15*G15)</f>
        <v>0</v>
      </c>
    </row>
    <row r="16" spans="1:26">
      <c r="A16" s="490"/>
      <c r="B16" s="274" t="s">
        <v>504</v>
      </c>
      <c r="C16" s="289">
        <v>0</v>
      </c>
      <c r="D16" s="10">
        <f t="shared" si="3"/>
        <v>0</v>
      </c>
      <c r="E16" s="275">
        <v>4</v>
      </c>
      <c r="F16" s="10">
        <f t="shared" si="4"/>
        <v>0</v>
      </c>
      <c r="G16" s="290">
        <v>0</v>
      </c>
      <c r="H16" s="10">
        <f t="shared" ref="H16:H40" si="5">(F16-F16*G16)</f>
        <v>0</v>
      </c>
    </row>
    <row r="17" spans="1:8">
      <c r="A17" s="490"/>
      <c r="B17" s="274" t="s">
        <v>505</v>
      </c>
      <c r="C17" s="289">
        <v>0</v>
      </c>
      <c r="D17" s="10">
        <f t="shared" si="3"/>
        <v>0</v>
      </c>
      <c r="E17" s="275">
        <v>7</v>
      </c>
      <c r="F17" s="10">
        <f t="shared" si="4"/>
        <v>0</v>
      </c>
      <c r="G17" s="290">
        <v>0.02</v>
      </c>
      <c r="H17" s="10">
        <f t="shared" si="5"/>
        <v>0</v>
      </c>
    </row>
    <row r="18" spans="1:8">
      <c r="A18" s="490"/>
      <c r="B18" s="274" t="s">
        <v>507</v>
      </c>
      <c r="C18" s="289">
        <v>0</v>
      </c>
      <c r="D18" s="10">
        <f t="shared" si="3"/>
        <v>0</v>
      </c>
      <c r="E18" s="275">
        <v>20</v>
      </c>
      <c r="F18" s="10">
        <f t="shared" si="4"/>
        <v>0</v>
      </c>
      <c r="G18" s="290">
        <v>0</v>
      </c>
      <c r="H18" s="10">
        <f t="shared" si="5"/>
        <v>0</v>
      </c>
    </row>
    <row r="19" spans="1:8">
      <c r="A19" s="490"/>
      <c r="B19" s="274"/>
      <c r="C19" s="289">
        <v>0</v>
      </c>
      <c r="D19" s="10">
        <f t="shared" si="3"/>
        <v>0</v>
      </c>
      <c r="E19" s="275">
        <v>7</v>
      </c>
      <c r="F19" s="10">
        <f t="shared" si="4"/>
        <v>0</v>
      </c>
      <c r="G19" s="290">
        <v>0.1</v>
      </c>
      <c r="H19" s="10">
        <f t="shared" si="5"/>
        <v>0</v>
      </c>
    </row>
    <row r="20" spans="1:8">
      <c r="A20" s="490"/>
      <c r="B20" s="274"/>
      <c r="C20" s="289">
        <v>0</v>
      </c>
      <c r="D20" s="10">
        <f t="shared" si="3"/>
        <v>0</v>
      </c>
      <c r="E20" s="275">
        <v>6</v>
      </c>
      <c r="F20" s="10">
        <f t="shared" si="4"/>
        <v>0</v>
      </c>
      <c r="G20" s="290">
        <v>0.02</v>
      </c>
      <c r="H20" s="10">
        <f t="shared" si="5"/>
        <v>0</v>
      </c>
    </row>
    <row r="21" spans="1:8">
      <c r="A21" s="490"/>
      <c r="B21" s="274"/>
      <c r="C21" s="289">
        <v>0</v>
      </c>
      <c r="D21" s="10">
        <f t="shared" si="3"/>
        <v>0</v>
      </c>
      <c r="E21" s="275"/>
      <c r="F21" s="10">
        <f t="shared" si="4"/>
        <v>0</v>
      </c>
      <c r="G21" s="290">
        <v>0</v>
      </c>
      <c r="H21" s="10">
        <f t="shared" si="5"/>
        <v>0</v>
      </c>
    </row>
    <row r="22" spans="1:8">
      <c r="A22" s="491"/>
      <c r="B22" s="274"/>
      <c r="C22" s="289">
        <v>0</v>
      </c>
      <c r="D22" s="10">
        <f t="shared" si="3"/>
        <v>0</v>
      </c>
      <c r="E22" s="275"/>
      <c r="F22" s="10">
        <f t="shared" si="4"/>
        <v>0</v>
      </c>
      <c r="G22" s="290">
        <v>0</v>
      </c>
      <c r="H22" s="10">
        <f t="shared" si="5"/>
        <v>0</v>
      </c>
    </row>
    <row r="23" spans="1:8">
      <c r="A23" s="320" t="s">
        <v>520</v>
      </c>
      <c r="B23" s="314"/>
      <c r="C23" s="315">
        <f>B9*B23</f>
        <v>0</v>
      </c>
      <c r="D23" s="10"/>
      <c r="E23" s="275"/>
      <c r="F23" s="10"/>
      <c r="G23" s="290"/>
      <c r="H23" s="10"/>
    </row>
    <row r="24" spans="1:8">
      <c r="A24" s="489" t="s">
        <v>410</v>
      </c>
      <c r="B24" s="274" t="s">
        <v>502</v>
      </c>
      <c r="C24" s="289">
        <v>0</v>
      </c>
      <c r="D24" s="10">
        <f>C$23*C24</f>
        <v>0</v>
      </c>
      <c r="E24" s="275">
        <v>10</v>
      </c>
      <c r="F24" s="10">
        <f t="shared" si="4"/>
        <v>0</v>
      </c>
      <c r="G24" s="290">
        <v>0.1</v>
      </c>
      <c r="H24" s="10">
        <f t="shared" si="5"/>
        <v>0</v>
      </c>
    </row>
    <row r="25" spans="1:8">
      <c r="A25" s="490"/>
      <c r="B25" s="274" t="s">
        <v>503</v>
      </c>
      <c r="C25" s="289">
        <v>0</v>
      </c>
      <c r="D25" s="10">
        <f>C$23*C25</f>
        <v>0</v>
      </c>
      <c r="E25" s="275">
        <v>10</v>
      </c>
      <c r="F25" s="10">
        <f t="shared" si="4"/>
        <v>0</v>
      </c>
      <c r="G25" s="290">
        <v>0.1</v>
      </c>
      <c r="H25" s="10">
        <f t="shared" si="5"/>
        <v>0</v>
      </c>
    </row>
    <row r="26" spans="1:8">
      <c r="A26" s="490"/>
      <c r="B26" s="274" t="s">
        <v>504</v>
      </c>
      <c r="C26" s="289">
        <v>0</v>
      </c>
      <c r="D26" s="10">
        <f>C$23*C26</f>
        <v>0</v>
      </c>
      <c r="E26" s="275">
        <v>10</v>
      </c>
      <c r="F26" s="10">
        <f t="shared" si="4"/>
        <v>0</v>
      </c>
      <c r="G26" s="290">
        <v>0.05</v>
      </c>
      <c r="H26" s="10">
        <f t="shared" si="5"/>
        <v>0</v>
      </c>
    </row>
    <row r="27" spans="1:8">
      <c r="A27" s="490"/>
      <c r="B27" s="274" t="s">
        <v>505</v>
      </c>
      <c r="C27" s="289">
        <v>0</v>
      </c>
      <c r="D27" s="10">
        <f t="shared" ref="D27:D31" si="6">C$23*C27</f>
        <v>0</v>
      </c>
      <c r="E27" s="275">
        <v>20</v>
      </c>
      <c r="F27" s="10">
        <f t="shared" si="4"/>
        <v>0</v>
      </c>
      <c r="G27" s="290">
        <v>0</v>
      </c>
      <c r="H27" s="10">
        <f t="shared" si="5"/>
        <v>0</v>
      </c>
    </row>
    <row r="28" spans="1:8">
      <c r="A28" s="490"/>
      <c r="B28" s="274" t="s">
        <v>506</v>
      </c>
      <c r="C28" s="289">
        <v>0</v>
      </c>
      <c r="D28" s="10">
        <f t="shared" si="6"/>
        <v>0</v>
      </c>
      <c r="E28" s="275"/>
      <c r="F28" s="10">
        <f t="shared" si="4"/>
        <v>0</v>
      </c>
      <c r="G28" s="290">
        <v>0</v>
      </c>
      <c r="H28" s="10">
        <f t="shared" si="5"/>
        <v>0</v>
      </c>
    </row>
    <row r="29" spans="1:8">
      <c r="A29" s="490"/>
      <c r="B29" s="274"/>
      <c r="C29" s="289">
        <v>0</v>
      </c>
      <c r="D29" s="10">
        <f t="shared" si="6"/>
        <v>0</v>
      </c>
      <c r="E29" s="275"/>
      <c r="F29" s="10">
        <f t="shared" si="4"/>
        <v>0</v>
      </c>
      <c r="G29" s="290">
        <v>0</v>
      </c>
      <c r="H29" s="10">
        <f t="shared" si="5"/>
        <v>0</v>
      </c>
    </row>
    <row r="30" spans="1:8">
      <c r="A30" s="490"/>
      <c r="B30" s="274"/>
      <c r="C30" s="289">
        <v>0</v>
      </c>
      <c r="D30" s="10">
        <f t="shared" si="6"/>
        <v>0</v>
      </c>
      <c r="E30" s="275"/>
      <c r="F30" s="10">
        <f t="shared" si="4"/>
        <v>0</v>
      </c>
      <c r="G30" s="290">
        <v>0</v>
      </c>
      <c r="H30" s="10">
        <f t="shared" si="5"/>
        <v>0</v>
      </c>
    </row>
    <row r="31" spans="1:8">
      <c r="A31" s="491"/>
      <c r="B31" s="274"/>
      <c r="C31" s="289">
        <v>0</v>
      </c>
      <c r="D31" s="10">
        <f t="shared" si="6"/>
        <v>0</v>
      </c>
      <c r="E31" s="275"/>
      <c r="F31" s="10">
        <f t="shared" si="4"/>
        <v>0</v>
      </c>
      <c r="G31" s="290">
        <v>0</v>
      </c>
      <c r="H31" s="10">
        <f t="shared" si="5"/>
        <v>0</v>
      </c>
    </row>
    <row r="32" spans="1:8">
      <c r="A32" s="320" t="s">
        <v>521</v>
      </c>
      <c r="B32" s="314"/>
      <c r="C32" s="274">
        <f>B9*B32</f>
        <v>0</v>
      </c>
      <c r="D32" s="10"/>
      <c r="E32" s="275"/>
      <c r="F32" s="10"/>
      <c r="G32" s="290"/>
      <c r="H32" s="10"/>
    </row>
    <row r="33" spans="1:8">
      <c r="A33" s="317" t="s">
        <v>478</v>
      </c>
      <c r="B33" s="274"/>
      <c r="C33" s="289">
        <v>0</v>
      </c>
      <c r="D33" s="10">
        <f>C$32*C33</f>
        <v>0</v>
      </c>
      <c r="E33" s="275"/>
      <c r="F33" s="10">
        <f t="shared" si="4"/>
        <v>0</v>
      </c>
      <c r="G33" s="290">
        <v>0</v>
      </c>
      <c r="H33" s="10">
        <f t="shared" si="5"/>
        <v>0</v>
      </c>
    </row>
    <row r="34" spans="1:8">
      <c r="A34" s="318"/>
      <c r="B34" s="274"/>
      <c r="C34" s="289">
        <v>0</v>
      </c>
      <c r="D34" s="10">
        <f>C$32*C34</f>
        <v>0</v>
      </c>
      <c r="E34" s="275"/>
      <c r="F34" s="10">
        <f t="shared" si="4"/>
        <v>0</v>
      </c>
      <c r="G34" s="290">
        <v>0</v>
      </c>
      <c r="H34" s="10">
        <f t="shared" si="5"/>
        <v>0</v>
      </c>
    </row>
    <row r="35" spans="1:8">
      <c r="A35" s="318"/>
      <c r="B35" s="274"/>
      <c r="C35" s="289">
        <v>0</v>
      </c>
      <c r="D35" s="10">
        <f>C$32*C35</f>
        <v>0</v>
      </c>
      <c r="E35" s="275"/>
      <c r="F35" s="10">
        <f t="shared" si="4"/>
        <v>0</v>
      </c>
      <c r="G35" s="290">
        <v>0</v>
      </c>
      <c r="H35" s="10">
        <f t="shared" si="5"/>
        <v>0</v>
      </c>
    </row>
    <row r="36" spans="1:8">
      <c r="A36" s="319"/>
      <c r="B36" s="274"/>
      <c r="C36" s="289">
        <v>0</v>
      </c>
      <c r="D36" s="10">
        <f>C$32*C36</f>
        <v>0</v>
      </c>
      <c r="E36" s="275"/>
      <c r="F36" s="10">
        <f t="shared" si="4"/>
        <v>0</v>
      </c>
      <c r="G36" s="290">
        <v>0</v>
      </c>
      <c r="H36" s="10">
        <f t="shared" si="5"/>
        <v>0</v>
      </c>
    </row>
    <row r="37" spans="1:8">
      <c r="A37" s="505" t="s">
        <v>522</v>
      </c>
      <c r="B37" s="274" t="s">
        <v>508</v>
      </c>
      <c r="C37" s="289">
        <v>0</v>
      </c>
      <c r="D37" s="10">
        <f t="shared" si="3"/>
        <v>0</v>
      </c>
      <c r="E37" s="275">
        <v>6</v>
      </c>
      <c r="F37" s="10">
        <f t="shared" si="4"/>
        <v>0</v>
      </c>
      <c r="G37" s="290">
        <v>0.05</v>
      </c>
      <c r="H37" s="10">
        <f t="shared" si="5"/>
        <v>0</v>
      </c>
    </row>
    <row r="38" spans="1:8">
      <c r="A38" s="505"/>
      <c r="B38" s="274" t="s">
        <v>509</v>
      </c>
      <c r="C38" s="289">
        <v>0</v>
      </c>
      <c r="D38" s="10">
        <f t="shared" si="3"/>
        <v>0</v>
      </c>
      <c r="E38" s="275"/>
      <c r="F38" s="10">
        <f t="shared" si="4"/>
        <v>0</v>
      </c>
      <c r="G38" s="290">
        <v>0</v>
      </c>
      <c r="H38" s="10">
        <f t="shared" si="5"/>
        <v>0</v>
      </c>
    </row>
    <row r="39" spans="1:8">
      <c r="A39" s="505"/>
      <c r="B39" s="274" t="s">
        <v>510</v>
      </c>
      <c r="C39" s="289">
        <v>0</v>
      </c>
      <c r="D39" s="10">
        <f t="shared" si="3"/>
        <v>0</v>
      </c>
      <c r="E39" s="275"/>
      <c r="F39" s="10">
        <f t="shared" si="4"/>
        <v>0</v>
      </c>
      <c r="G39" s="290">
        <v>0</v>
      </c>
      <c r="H39" s="10">
        <f t="shared" si="5"/>
        <v>0</v>
      </c>
    </row>
    <row r="40" spans="1:8">
      <c r="A40" s="505"/>
      <c r="B40" s="274" t="s">
        <v>511</v>
      </c>
      <c r="C40" s="289">
        <v>0</v>
      </c>
      <c r="D40" s="10">
        <f t="shared" si="3"/>
        <v>0</v>
      </c>
      <c r="E40" s="275"/>
      <c r="F40" s="10">
        <f t="shared" si="4"/>
        <v>0</v>
      </c>
      <c r="G40" s="290">
        <v>0</v>
      </c>
      <c r="H40" s="10">
        <f t="shared" si="5"/>
        <v>0</v>
      </c>
    </row>
    <row r="41" spans="1:8">
      <c r="A41" s="488" t="s">
        <v>414</v>
      </c>
      <c r="B41" s="488"/>
      <c r="C41" s="488"/>
      <c r="D41" s="488"/>
      <c r="E41" s="488"/>
      <c r="F41" s="488"/>
      <c r="G41" s="488"/>
      <c r="H41" s="488"/>
    </row>
    <row r="43" spans="1:8" ht="18.75">
      <c r="A43" s="492" t="s">
        <v>599</v>
      </c>
      <c r="B43" s="493"/>
      <c r="C43" s="493"/>
      <c r="D43" s="493"/>
      <c r="E43" s="493"/>
      <c r="F43" s="493"/>
      <c r="G43" s="493"/>
      <c r="H43" s="494"/>
    </row>
    <row r="44" spans="1:8">
      <c r="A44" s="495" t="s">
        <v>0</v>
      </c>
      <c r="B44" s="305">
        <v>0.35</v>
      </c>
      <c r="C44" s="305">
        <f>B44+0.05</f>
        <v>0.39999999999999997</v>
      </c>
      <c r="D44" s="305">
        <f t="shared" ref="D44:G44" si="7">C44+0.05</f>
        <v>0.44999999999999996</v>
      </c>
      <c r="E44" s="305">
        <f t="shared" si="7"/>
        <v>0.49999999999999994</v>
      </c>
      <c r="F44" s="305">
        <f t="shared" si="7"/>
        <v>0.54999999999999993</v>
      </c>
      <c r="G44" s="305">
        <f t="shared" si="7"/>
        <v>0.6</v>
      </c>
      <c r="H44" s="305">
        <f>G44+0.05</f>
        <v>0.65</v>
      </c>
    </row>
    <row r="45" spans="1:8">
      <c r="A45" s="496"/>
      <c r="B45" s="296" t="s">
        <v>2</v>
      </c>
      <c r="C45" s="296" t="s">
        <v>3</v>
      </c>
      <c r="D45" s="296" t="s">
        <v>4</v>
      </c>
      <c r="E45" s="296" t="s">
        <v>5</v>
      </c>
      <c r="F45" s="296" t="s">
        <v>6</v>
      </c>
      <c r="G45" s="296" t="s">
        <v>171</v>
      </c>
      <c r="H45" s="296"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97" t="s">
        <v>600</v>
      </c>
      <c r="B71" s="498"/>
      <c r="C71" s="498"/>
      <c r="D71" s="498"/>
      <c r="E71" s="498"/>
      <c r="F71" s="498"/>
      <c r="G71" s="498"/>
      <c r="H71" s="499"/>
    </row>
    <row r="72" spans="1:8">
      <c r="A72" s="500" t="s">
        <v>0</v>
      </c>
      <c r="B72" s="306">
        <v>0.05</v>
      </c>
      <c r="C72" s="306">
        <f>B72+0.05</f>
        <v>0.1</v>
      </c>
      <c r="D72" s="306">
        <f t="shared" ref="D72:G72" si="26">C72+0.05</f>
        <v>0.15000000000000002</v>
      </c>
      <c r="E72" s="306">
        <f t="shared" si="26"/>
        <v>0.2</v>
      </c>
      <c r="F72" s="306">
        <f t="shared" si="26"/>
        <v>0.25</v>
      </c>
      <c r="G72" s="306">
        <f t="shared" si="26"/>
        <v>0.3</v>
      </c>
      <c r="H72" s="306">
        <f>G72+0.05</f>
        <v>0.35</v>
      </c>
    </row>
    <row r="73" spans="1:8">
      <c r="A73" s="501"/>
      <c r="B73" s="296" t="s">
        <v>2</v>
      </c>
      <c r="C73" s="296" t="s">
        <v>3</v>
      </c>
      <c r="D73" s="296" t="s">
        <v>4</v>
      </c>
      <c r="E73" s="296" t="s">
        <v>5</v>
      </c>
      <c r="F73" s="296" t="s">
        <v>6</v>
      </c>
      <c r="G73" s="296" t="s">
        <v>171</v>
      </c>
      <c r="H73" s="296"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84"/>
    </row>
    <row r="99" spans="1:9" ht="18.75">
      <c r="A99" s="497" t="s">
        <v>601</v>
      </c>
      <c r="B99" s="498"/>
      <c r="C99" s="498"/>
      <c r="D99" s="498"/>
      <c r="E99" s="498"/>
      <c r="F99" s="498"/>
      <c r="G99" s="498"/>
      <c r="H99" s="499"/>
    </row>
    <row r="100" spans="1:9">
      <c r="A100" s="486" t="s">
        <v>0</v>
      </c>
      <c r="B100" s="329">
        <v>0.65</v>
      </c>
      <c r="C100" s="330">
        <f>B100+0.05</f>
        <v>0.70000000000000007</v>
      </c>
      <c r="D100" s="330">
        <f t="shared" ref="D100:G100" si="45">C100+0.05</f>
        <v>0.75000000000000011</v>
      </c>
      <c r="E100" s="330">
        <f t="shared" si="45"/>
        <v>0.80000000000000016</v>
      </c>
      <c r="F100" s="330">
        <f t="shared" si="45"/>
        <v>0.8500000000000002</v>
      </c>
      <c r="G100" s="330">
        <f t="shared" si="45"/>
        <v>0.90000000000000024</v>
      </c>
      <c r="H100" s="330">
        <f>G100+0.05</f>
        <v>0.95000000000000029</v>
      </c>
    </row>
    <row r="101" spans="1:9">
      <c r="A101" s="487"/>
      <c r="B101" s="296" t="s">
        <v>2</v>
      </c>
      <c r="C101" s="296" t="s">
        <v>3</v>
      </c>
      <c r="D101" s="296" t="s">
        <v>4</v>
      </c>
      <c r="E101" s="296" t="s">
        <v>5</v>
      </c>
      <c r="F101" s="296" t="s">
        <v>6</v>
      </c>
      <c r="G101" s="296" t="s">
        <v>171</v>
      </c>
      <c r="H101" s="296" t="s">
        <v>170</v>
      </c>
    </row>
    <row r="102" spans="1:9" s="13" customFormat="1">
      <c r="A102" s="10" t="str">
        <f t="shared" ref="A102:A126" si="46">A74</f>
        <v>Onion</v>
      </c>
      <c r="B102" s="10">
        <f t="shared" ref="B102:B110" si="47">D14*$B$100</f>
        <v>0</v>
      </c>
      <c r="C102" s="293">
        <f t="shared" ref="C102:H117" si="48">(B102/B$100)*C$100</f>
        <v>0</v>
      </c>
      <c r="D102" s="293">
        <f t="shared" si="48"/>
        <v>0</v>
      </c>
      <c r="E102" s="293">
        <f t="shared" si="48"/>
        <v>0</v>
      </c>
      <c r="F102" s="293">
        <f t="shared" si="48"/>
        <v>0</v>
      </c>
      <c r="G102" s="293">
        <f t="shared" si="48"/>
        <v>0</v>
      </c>
      <c r="H102" s="293">
        <f t="shared" si="48"/>
        <v>0</v>
      </c>
    </row>
    <row r="103" spans="1:9">
      <c r="A103" s="10" t="str">
        <f t="shared" si="46"/>
        <v>Tomato</v>
      </c>
      <c r="B103" s="10">
        <f t="shared" si="47"/>
        <v>0</v>
      </c>
      <c r="C103" s="293">
        <f t="shared" si="48"/>
        <v>0</v>
      </c>
      <c r="D103" s="293">
        <f>(C103/C100)*D100</f>
        <v>0</v>
      </c>
      <c r="E103" s="293">
        <f t="shared" ref="E103:G103" si="49">(D103/D100)*E100</f>
        <v>0</v>
      </c>
      <c r="F103" s="293">
        <f t="shared" si="49"/>
        <v>0</v>
      </c>
      <c r="G103" s="293">
        <f t="shared" si="49"/>
        <v>0</v>
      </c>
      <c r="H103" s="293">
        <f>(G103/G100)*H100</f>
        <v>0</v>
      </c>
    </row>
    <row r="104" spans="1:9">
      <c r="A104" s="10" t="str">
        <f t="shared" si="46"/>
        <v>Okra</v>
      </c>
      <c r="B104" s="10">
        <f t="shared" si="47"/>
        <v>0</v>
      </c>
      <c r="C104" s="293">
        <f t="shared" si="48"/>
        <v>0</v>
      </c>
      <c r="D104" s="293">
        <f t="shared" si="48"/>
        <v>0</v>
      </c>
      <c r="E104" s="293">
        <f t="shared" si="48"/>
        <v>0</v>
      </c>
      <c r="F104" s="293">
        <f t="shared" si="48"/>
        <v>0</v>
      </c>
      <c r="G104" s="293">
        <f t="shared" si="48"/>
        <v>0</v>
      </c>
      <c r="H104" s="293">
        <f t="shared" si="48"/>
        <v>0</v>
      </c>
    </row>
    <row r="105" spans="1:9">
      <c r="A105" s="10" t="str">
        <f t="shared" si="46"/>
        <v>Chilli</v>
      </c>
      <c r="B105" s="10">
        <f t="shared" si="47"/>
        <v>0</v>
      </c>
      <c r="C105" s="293">
        <f t="shared" si="48"/>
        <v>0</v>
      </c>
      <c r="D105" s="293">
        <f t="shared" si="48"/>
        <v>0</v>
      </c>
      <c r="E105" s="293">
        <f t="shared" si="48"/>
        <v>0</v>
      </c>
      <c r="F105" s="293">
        <f t="shared" si="48"/>
        <v>0</v>
      </c>
      <c r="G105" s="293">
        <f t="shared" si="48"/>
        <v>0</v>
      </c>
      <c r="H105" s="293">
        <f t="shared" si="48"/>
        <v>0</v>
      </c>
    </row>
    <row r="106" spans="1:9">
      <c r="A106" s="10" t="str">
        <f t="shared" si="46"/>
        <v>Potato</v>
      </c>
      <c r="B106" s="364">
        <f t="shared" si="47"/>
        <v>0</v>
      </c>
      <c r="C106" s="293">
        <f t="shared" si="48"/>
        <v>0</v>
      </c>
      <c r="D106" s="293">
        <f t="shared" si="48"/>
        <v>0</v>
      </c>
      <c r="E106" s="293">
        <f t="shared" si="48"/>
        <v>0</v>
      </c>
      <c r="F106" s="293">
        <f t="shared" si="48"/>
        <v>0</v>
      </c>
      <c r="G106" s="293">
        <f t="shared" si="48"/>
        <v>0</v>
      </c>
      <c r="H106" s="293">
        <f t="shared" si="48"/>
        <v>0</v>
      </c>
    </row>
    <row r="107" spans="1:9">
      <c r="A107" s="10">
        <f t="shared" si="46"/>
        <v>0</v>
      </c>
      <c r="B107" s="10">
        <f t="shared" si="47"/>
        <v>0</v>
      </c>
      <c r="C107" s="293">
        <f t="shared" si="48"/>
        <v>0</v>
      </c>
      <c r="D107" s="293">
        <f t="shared" si="48"/>
        <v>0</v>
      </c>
      <c r="E107" s="293">
        <f t="shared" si="48"/>
        <v>0</v>
      </c>
      <c r="F107" s="293">
        <f t="shared" si="48"/>
        <v>0</v>
      </c>
      <c r="G107" s="293">
        <f t="shared" si="48"/>
        <v>0</v>
      </c>
      <c r="H107" s="293">
        <f t="shared" si="48"/>
        <v>0</v>
      </c>
    </row>
    <row r="108" spans="1:9">
      <c r="A108" s="10">
        <f t="shared" si="46"/>
        <v>0</v>
      </c>
      <c r="B108" s="10">
        <f t="shared" si="47"/>
        <v>0</v>
      </c>
      <c r="C108" s="293">
        <f t="shared" si="48"/>
        <v>0</v>
      </c>
      <c r="D108" s="293">
        <f t="shared" si="48"/>
        <v>0</v>
      </c>
      <c r="E108" s="293">
        <f t="shared" si="48"/>
        <v>0</v>
      </c>
      <c r="F108" s="293">
        <f t="shared" si="48"/>
        <v>0</v>
      </c>
      <c r="G108" s="293">
        <f t="shared" si="48"/>
        <v>0</v>
      </c>
      <c r="H108" s="293">
        <f t="shared" si="48"/>
        <v>0</v>
      </c>
    </row>
    <row r="109" spans="1:9">
      <c r="A109" s="10">
        <f t="shared" si="46"/>
        <v>0</v>
      </c>
      <c r="B109" s="10">
        <f t="shared" si="47"/>
        <v>0</v>
      </c>
      <c r="C109" s="293">
        <f t="shared" si="48"/>
        <v>0</v>
      </c>
      <c r="D109" s="293">
        <f t="shared" si="48"/>
        <v>0</v>
      </c>
      <c r="E109" s="293">
        <f t="shared" si="48"/>
        <v>0</v>
      </c>
      <c r="F109" s="293">
        <f t="shared" si="48"/>
        <v>0</v>
      </c>
      <c r="G109" s="293">
        <f t="shared" si="48"/>
        <v>0</v>
      </c>
      <c r="H109" s="293">
        <f t="shared" si="48"/>
        <v>0</v>
      </c>
    </row>
    <row r="110" spans="1:9">
      <c r="A110" s="10">
        <f t="shared" si="46"/>
        <v>0</v>
      </c>
      <c r="B110" s="10">
        <f t="shared" si="47"/>
        <v>0</v>
      </c>
      <c r="C110" s="293">
        <f t="shared" si="48"/>
        <v>0</v>
      </c>
      <c r="D110" s="293">
        <f t="shared" si="48"/>
        <v>0</v>
      </c>
      <c r="E110" s="293">
        <f t="shared" si="48"/>
        <v>0</v>
      </c>
      <c r="F110" s="293">
        <f t="shared" si="48"/>
        <v>0</v>
      </c>
      <c r="G110" s="293">
        <f t="shared" si="48"/>
        <v>0</v>
      </c>
      <c r="H110" s="293">
        <f t="shared" si="48"/>
        <v>0</v>
      </c>
    </row>
    <row r="111" spans="1:9">
      <c r="A111" s="10" t="str">
        <f t="shared" si="46"/>
        <v>Onion</v>
      </c>
      <c r="B111" s="10">
        <f t="shared" ref="B111:B118" si="50">D24*$B$100</f>
        <v>0</v>
      </c>
      <c r="C111" s="293">
        <f t="shared" si="48"/>
        <v>0</v>
      </c>
      <c r="D111" s="293">
        <f t="shared" si="48"/>
        <v>0</v>
      </c>
      <c r="E111" s="293">
        <f t="shared" si="48"/>
        <v>0</v>
      </c>
      <c r="F111" s="293">
        <f t="shared" si="48"/>
        <v>0</v>
      </c>
      <c r="G111" s="293">
        <f t="shared" si="48"/>
        <v>0</v>
      </c>
      <c r="H111" s="293">
        <f t="shared" si="48"/>
        <v>0</v>
      </c>
    </row>
    <row r="112" spans="1:9">
      <c r="A112" s="10" t="str">
        <f t="shared" si="46"/>
        <v>Tomato</v>
      </c>
      <c r="B112" s="10">
        <f t="shared" si="50"/>
        <v>0</v>
      </c>
      <c r="C112" s="293">
        <f t="shared" si="48"/>
        <v>0</v>
      </c>
      <c r="D112" s="293">
        <f t="shared" si="48"/>
        <v>0</v>
      </c>
      <c r="E112" s="293">
        <f t="shared" si="48"/>
        <v>0</v>
      </c>
      <c r="F112" s="293">
        <f t="shared" si="48"/>
        <v>0</v>
      </c>
      <c r="G112" s="293">
        <f t="shared" si="48"/>
        <v>0</v>
      </c>
      <c r="H112" s="293">
        <f t="shared" si="48"/>
        <v>0</v>
      </c>
    </row>
    <row r="113" spans="1:9">
      <c r="A113" s="10" t="str">
        <f t="shared" si="46"/>
        <v>Okra</v>
      </c>
      <c r="B113" s="10">
        <f t="shared" si="50"/>
        <v>0</v>
      </c>
      <c r="C113" s="293">
        <f t="shared" si="48"/>
        <v>0</v>
      </c>
      <c r="D113" s="293">
        <f t="shared" si="48"/>
        <v>0</v>
      </c>
      <c r="E113" s="293">
        <f t="shared" si="48"/>
        <v>0</v>
      </c>
      <c r="F113" s="293">
        <f t="shared" si="48"/>
        <v>0</v>
      </c>
      <c r="G113" s="293">
        <f t="shared" si="48"/>
        <v>0</v>
      </c>
      <c r="H113" s="293">
        <f t="shared" si="48"/>
        <v>0</v>
      </c>
    </row>
    <row r="114" spans="1:9">
      <c r="A114" s="10" t="str">
        <f t="shared" si="46"/>
        <v>Chilli</v>
      </c>
      <c r="B114" s="10">
        <f t="shared" si="50"/>
        <v>0</v>
      </c>
      <c r="C114" s="293">
        <f t="shared" si="48"/>
        <v>0</v>
      </c>
      <c r="D114" s="293">
        <f t="shared" si="48"/>
        <v>0</v>
      </c>
      <c r="E114" s="293">
        <f t="shared" si="48"/>
        <v>0</v>
      </c>
      <c r="F114" s="293">
        <f t="shared" si="48"/>
        <v>0</v>
      </c>
      <c r="G114" s="293">
        <f t="shared" si="48"/>
        <v>0</v>
      </c>
      <c r="H114" s="293">
        <f t="shared" si="48"/>
        <v>0</v>
      </c>
    </row>
    <row r="115" spans="1:9">
      <c r="A115" s="10" t="str">
        <f t="shared" si="46"/>
        <v>Brinjal</v>
      </c>
      <c r="B115" s="10">
        <f t="shared" si="50"/>
        <v>0</v>
      </c>
      <c r="C115" s="293">
        <f t="shared" si="48"/>
        <v>0</v>
      </c>
      <c r="D115" s="293">
        <f t="shared" si="48"/>
        <v>0</v>
      </c>
      <c r="E115" s="293">
        <f t="shared" si="48"/>
        <v>0</v>
      </c>
      <c r="F115" s="293">
        <f t="shared" si="48"/>
        <v>0</v>
      </c>
      <c r="G115" s="293">
        <f t="shared" si="48"/>
        <v>0</v>
      </c>
      <c r="H115" s="293">
        <f t="shared" si="48"/>
        <v>0</v>
      </c>
    </row>
    <row r="116" spans="1:9">
      <c r="A116" s="10">
        <f t="shared" si="46"/>
        <v>0</v>
      </c>
      <c r="B116" s="10">
        <f t="shared" si="50"/>
        <v>0</v>
      </c>
      <c r="C116" s="293">
        <f t="shared" si="48"/>
        <v>0</v>
      </c>
      <c r="D116" s="293">
        <f t="shared" si="48"/>
        <v>0</v>
      </c>
      <c r="E116" s="293">
        <f t="shared" si="48"/>
        <v>0</v>
      </c>
      <c r="F116" s="293">
        <f t="shared" si="48"/>
        <v>0</v>
      </c>
      <c r="G116" s="293">
        <f t="shared" si="48"/>
        <v>0</v>
      </c>
      <c r="H116" s="293">
        <f t="shared" si="48"/>
        <v>0</v>
      </c>
    </row>
    <row r="117" spans="1:9">
      <c r="A117" s="10">
        <f t="shared" si="46"/>
        <v>0</v>
      </c>
      <c r="B117" s="10">
        <f t="shared" si="50"/>
        <v>0</v>
      </c>
      <c r="C117" s="293">
        <f t="shared" si="48"/>
        <v>0</v>
      </c>
      <c r="D117" s="293">
        <f t="shared" si="48"/>
        <v>0</v>
      </c>
      <c r="E117" s="293">
        <f t="shared" si="48"/>
        <v>0</v>
      </c>
      <c r="F117" s="293">
        <f t="shared" si="48"/>
        <v>0</v>
      </c>
      <c r="G117" s="293">
        <f t="shared" si="48"/>
        <v>0</v>
      </c>
      <c r="H117" s="293">
        <f t="shared" si="48"/>
        <v>0</v>
      </c>
    </row>
    <row r="118" spans="1:9">
      <c r="A118" s="10">
        <f t="shared" si="46"/>
        <v>0</v>
      </c>
      <c r="B118" s="10">
        <f t="shared" si="50"/>
        <v>0</v>
      </c>
      <c r="C118" s="293">
        <f t="shared" ref="C118:H126" si="51">(B118/B$100)*C$100</f>
        <v>0</v>
      </c>
      <c r="D118" s="293">
        <f t="shared" si="51"/>
        <v>0</v>
      </c>
      <c r="E118" s="293">
        <f t="shared" si="51"/>
        <v>0</v>
      </c>
      <c r="F118" s="293">
        <f t="shared" si="51"/>
        <v>0</v>
      </c>
      <c r="G118" s="293">
        <f t="shared" si="51"/>
        <v>0</v>
      </c>
      <c r="H118" s="293">
        <f t="shared" si="51"/>
        <v>0</v>
      </c>
    </row>
    <row r="119" spans="1:9">
      <c r="A119" s="10">
        <f t="shared" si="46"/>
        <v>0</v>
      </c>
      <c r="B119" s="10">
        <f t="shared" ref="B119:B126" si="52">D33*$B$100</f>
        <v>0</v>
      </c>
      <c r="C119" s="293">
        <f t="shared" si="51"/>
        <v>0</v>
      </c>
      <c r="D119" s="293">
        <f t="shared" si="51"/>
        <v>0</v>
      </c>
      <c r="E119" s="293">
        <f t="shared" si="51"/>
        <v>0</v>
      </c>
      <c r="F119" s="293">
        <f t="shared" si="51"/>
        <v>0</v>
      </c>
      <c r="G119" s="293">
        <f t="shared" si="51"/>
        <v>0</v>
      </c>
      <c r="H119" s="293">
        <f t="shared" si="51"/>
        <v>0</v>
      </c>
    </row>
    <row r="120" spans="1:9">
      <c r="A120" s="10">
        <f t="shared" si="46"/>
        <v>0</v>
      </c>
      <c r="B120" s="10">
        <f t="shared" si="52"/>
        <v>0</v>
      </c>
      <c r="C120" s="293">
        <f t="shared" si="51"/>
        <v>0</v>
      </c>
      <c r="D120" s="293">
        <f t="shared" ref="D120:D122" si="53">(C120/C$100)*D$100</f>
        <v>0</v>
      </c>
      <c r="E120" s="293">
        <f t="shared" ref="E120:E122" si="54">(D120/D$100)*E$100</f>
        <v>0</v>
      </c>
      <c r="F120" s="293">
        <f t="shared" ref="F120:F122" si="55">(E120/E$100)*F$100</f>
        <v>0</v>
      </c>
      <c r="G120" s="293">
        <f t="shared" ref="G120:G122" si="56">(F120/F$100)*G$100</f>
        <v>0</v>
      </c>
      <c r="H120" s="293">
        <f t="shared" si="51"/>
        <v>0</v>
      </c>
    </row>
    <row r="121" spans="1:9">
      <c r="A121" s="10">
        <f t="shared" si="46"/>
        <v>0</v>
      </c>
      <c r="B121" s="10">
        <f t="shared" si="52"/>
        <v>0</v>
      </c>
      <c r="C121" s="293">
        <f t="shared" si="51"/>
        <v>0</v>
      </c>
      <c r="D121" s="293">
        <f t="shared" si="53"/>
        <v>0</v>
      </c>
      <c r="E121" s="293">
        <f t="shared" si="54"/>
        <v>0</v>
      </c>
      <c r="F121" s="293">
        <f t="shared" si="55"/>
        <v>0</v>
      </c>
      <c r="G121" s="293">
        <f t="shared" si="56"/>
        <v>0</v>
      </c>
      <c r="H121" s="293">
        <f t="shared" si="51"/>
        <v>0</v>
      </c>
    </row>
    <row r="122" spans="1:9">
      <c r="A122" s="10">
        <f t="shared" si="46"/>
        <v>0</v>
      </c>
      <c r="B122" s="10">
        <f t="shared" si="52"/>
        <v>0</v>
      </c>
      <c r="C122" s="293">
        <f t="shared" si="51"/>
        <v>0</v>
      </c>
      <c r="D122" s="293">
        <f t="shared" si="53"/>
        <v>0</v>
      </c>
      <c r="E122" s="293">
        <f t="shared" si="54"/>
        <v>0</v>
      </c>
      <c r="F122" s="293">
        <f t="shared" si="55"/>
        <v>0</v>
      </c>
      <c r="G122" s="293">
        <f t="shared" si="56"/>
        <v>0</v>
      </c>
      <c r="H122" s="293">
        <f t="shared" si="51"/>
        <v>0</v>
      </c>
    </row>
    <row r="123" spans="1:9">
      <c r="A123" s="10" t="str">
        <f t="shared" si="46"/>
        <v>Pomegranate</v>
      </c>
      <c r="B123" s="10">
        <f t="shared" si="52"/>
        <v>0</v>
      </c>
      <c r="C123" s="293">
        <f t="shared" si="51"/>
        <v>0</v>
      </c>
      <c r="D123" s="293">
        <f t="shared" si="51"/>
        <v>0</v>
      </c>
      <c r="E123" s="293">
        <f t="shared" si="51"/>
        <v>0</v>
      </c>
      <c r="F123" s="293">
        <f t="shared" si="51"/>
        <v>0</v>
      </c>
      <c r="G123" s="293">
        <f t="shared" si="51"/>
        <v>0</v>
      </c>
      <c r="H123" s="293">
        <f t="shared" si="51"/>
        <v>0</v>
      </c>
    </row>
    <row r="124" spans="1:9">
      <c r="A124" s="10" t="str">
        <f t="shared" si="46"/>
        <v>Custard Apple</v>
      </c>
      <c r="B124" s="10">
        <f t="shared" si="52"/>
        <v>0</v>
      </c>
      <c r="C124" s="293">
        <f t="shared" si="51"/>
        <v>0</v>
      </c>
      <c r="D124" s="293">
        <f t="shared" ref="D124" si="57">(C124/C$100)*D$100</f>
        <v>0</v>
      </c>
      <c r="E124" s="293">
        <f t="shared" ref="E124" si="58">(D124/D$100)*E$100</f>
        <v>0</v>
      </c>
      <c r="F124" s="293">
        <f t="shared" ref="F124" si="59">(E124/E$100)*F$100</f>
        <v>0</v>
      </c>
      <c r="G124" s="293">
        <f t="shared" ref="G124" si="60">(F124/F$100)*G$100</f>
        <v>0</v>
      </c>
      <c r="H124" s="293">
        <f t="shared" si="51"/>
        <v>0</v>
      </c>
    </row>
    <row r="125" spans="1:9">
      <c r="A125" s="10" t="str">
        <f t="shared" si="46"/>
        <v>Guava</v>
      </c>
      <c r="B125" s="10">
        <f t="shared" si="52"/>
        <v>0</v>
      </c>
      <c r="C125" s="293">
        <f t="shared" si="51"/>
        <v>0</v>
      </c>
      <c r="D125" s="293">
        <f t="shared" si="51"/>
        <v>0</v>
      </c>
      <c r="E125" s="293">
        <f t="shared" si="51"/>
        <v>0</v>
      </c>
      <c r="F125" s="293">
        <f t="shared" si="51"/>
        <v>0</v>
      </c>
      <c r="G125" s="293">
        <f t="shared" si="51"/>
        <v>0</v>
      </c>
      <c r="H125" s="293">
        <f t="shared" si="51"/>
        <v>0</v>
      </c>
    </row>
    <row r="126" spans="1:9">
      <c r="A126" s="10" t="str">
        <f t="shared" si="46"/>
        <v>Citrus</v>
      </c>
      <c r="B126" s="10">
        <f t="shared" si="52"/>
        <v>0</v>
      </c>
      <c r="C126" s="293">
        <f t="shared" si="51"/>
        <v>0</v>
      </c>
      <c r="D126" s="293">
        <f t="shared" si="51"/>
        <v>0</v>
      </c>
      <c r="E126" s="293">
        <f t="shared" si="51"/>
        <v>0</v>
      </c>
      <c r="F126" s="293">
        <f t="shared" si="51"/>
        <v>0</v>
      </c>
      <c r="G126" s="293">
        <f t="shared" si="51"/>
        <v>0</v>
      </c>
      <c r="H126" s="293">
        <f t="shared" si="51"/>
        <v>0</v>
      </c>
    </row>
    <row r="128" spans="1:9">
      <c r="C128" s="4"/>
      <c r="D128" s="6"/>
      <c r="E128" s="6"/>
      <c r="F128" s="6"/>
      <c r="G128" s="6"/>
      <c r="H128" s="6"/>
      <c r="I128" s="6"/>
    </row>
    <row r="129" spans="1:9">
      <c r="A129" t="s">
        <v>564</v>
      </c>
      <c r="C129" s="303"/>
      <c r="D129" s="303"/>
      <c r="E129" s="303"/>
      <c r="F129" s="303"/>
      <c r="G129" s="303"/>
      <c r="H129" s="303"/>
      <c r="I129" s="303"/>
    </row>
    <row r="130" spans="1:9">
      <c r="A130">
        <v>1</v>
      </c>
      <c r="B130" t="s">
        <v>565</v>
      </c>
    </row>
    <row r="131" spans="1:9">
      <c r="A131">
        <v>2</v>
      </c>
      <c r="B131" t="s">
        <v>566</v>
      </c>
    </row>
    <row r="132" spans="1:9">
      <c r="A132">
        <v>3</v>
      </c>
      <c r="B132" t="s">
        <v>567</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42" right="0.18" top="0.18" bottom="0.34" header="0.3" footer="0.3"/>
  <pageSetup scale="30" fitToHeight="0" orientation="portrait" r:id="rId1"/>
  <rowBreaks count="1" manualBreakCount="1">
    <brk id="42"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10"/>
  <sheetViews>
    <sheetView view="pageBreakPreview" topLeftCell="A280" zoomScale="80" zoomScaleSheetLayoutView="80" workbookViewId="0">
      <selection sqref="A1:J305"/>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38" t="s">
        <v>602</v>
      </c>
      <c r="B2" s="438"/>
      <c r="C2" s="438"/>
      <c r="D2" s="438"/>
      <c r="E2" s="438"/>
      <c r="F2" s="438"/>
      <c r="G2" s="438"/>
      <c r="H2" s="438"/>
    </row>
    <row r="3" spans="1:8" ht="18.75">
      <c r="A3" s="438" t="s">
        <v>603</v>
      </c>
      <c r="B3" s="438"/>
      <c r="C3" s="438"/>
      <c r="D3" s="438"/>
      <c r="E3" s="438"/>
      <c r="F3" s="438"/>
      <c r="G3" s="438"/>
      <c r="H3" s="438"/>
    </row>
    <row r="4" spans="1:8">
      <c r="B4" s="94"/>
      <c r="C4" s="94"/>
      <c r="D4" s="94"/>
      <c r="E4" s="94"/>
      <c r="F4" s="439" t="s">
        <v>490</v>
      </c>
      <c r="G4" s="439"/>
      <c r="H4" s="439"/>
    </row>
    <row r="5" spans="1:8">
      <c r="A5" s="94" t="s">
        <v>163</v>
      </c>
      <c r="B5" s="236">
        <f>(2*1000)/100</f>
        <v>20</v>
      </c>
      <c r="C5" s="94" t="s">
        <v>466</v>
      </c>
      <c r="D5" s="94"/>
      <c r="E5" s="94"/>
      <c r="F5" s="278" t="s">
        <v>491</v>
      </c>
      <c r="G5" s="278" t="s">
        <v>492</v>
      </c>
      <c r="H5" s="94"/>
    </row>
    <row r="6" spans="1:8">
      <c r="A6" s="94" t="s">
        <v>164</v>
      </c>
      <c r="B6" s="269">
        <v>8</v>
      </c>
      <c r="C6" s="94"/>
      <c r="D6" s="94"/>
      <c r="E6" s="94"/>
      <c r="F6" s="10" t="s">
        <v>488</v>
      </c>
      <c r="G6" s="311">
        <v>0.03</v>
      </c>
      <c r="H6" s="94"/>
    </row>
    <row r="7" spans="1:8">
      <c r="A7" s="94"/>
      <c r="B7" s="94"/>
      <c r="C7" s="94"/>
      <c r="D7" s="94"/>
      <c r="E7" s="94"/>
      <c r="F7" s="10" t="s">
        <v>489</v>
      </c>
      <c r="G7" s="311">
        <v>0.05</v>
      </c>
      <c r="H7" s="94"/>
    </row>
    <row r="8" spans="1:8">
      <c r="A8" s="94" t="s">
        <v>537</v>
      </c>
      <c r="B8" s="94">
        <v>300</v>
      </c>
      <c r="C8" s="94"/>
      <c r="D8" s="94"/>
      <c r="E8" s="94"/>
      <c r="F8" s="10"/>
      <c r="G8" s="311"/>
      <c r="H8" s="94"/>
    </row>
    <row r="9" spans="1:8">
      <c r="A9" s="148" t="s">
        <v>0</v>
      </c>
      <c r="B9" s="120" t="s">
        <v>2</v>
      </c>
      <c r="C9" s="120" t="s">
        <v>3</v>
      </c>
      <c r="D9" s="120" t="s">
        <v>4</v>
      </c>
      <c r="E9" s="120" t="s">
        <v>5</v>
      </c>
      <c r="F9" s="120" t="s">
        <v>6</v>
      </c>
      <c r="G9" s="120" t="s">
        <v>171</v>
      </c>
      <c r="H9" s="120" t="s">
        <v>170</v>
      </c>
    </row>
    <row r="10" spans="1:8">
      <c r="A10" s="95" t="s">
        <v>465</v>
      </c>
      <c r="B10" s="287">
        <f>B33/($B$5*$B$6)</f>
        <v>61.38000000000001</v>
      </c>
      <c r="C10" s="287">
        <f t="shared" ref="C10:H10" si="0">C33/($B$5*$B$6)</f>
        <v>67.518000000000001</v>
      </c>
      <c r="D10" s="287">
        <f t="shared" si="0"/>
        <v>73.65600000000002</v>
      </c>
      <c r="E10" s="287">
        <f t="shared" si="0"/>
        <v>79.794000000000011</v>
      </c>
      <c r="F10" s="287">
        <f t="shared" si="0"/>
        <v>85.932000000000016</v>
      </c>
      <c r="G10" s="287">
        <f t="shared" si="0"/>
        <v>92.070000000000036</v>
      </c>
      <c r="H10" s="287">
        <f t="shared" si="0"/>
        <v>98.208000000000041</v>
      </c>
    </row>
    <row r="11" spans="1:8">
      <c r="A11" s="191" t="str">
        <f>'10.Grain Production details'!A42</f>
        <v>Soybean</v>
      </c>
      <c r="B11" s="191">
        <f>'10.Grain Production details'!B42</f>
        <v>8553.6</v>
      </c>
      <c r="C11" s="191">
        <f>'10.Grain Production details'!C42</f>
        <v>9408.9600000000009</v>
      </c>
      <c r="D11" s="191">
        <f>'10.Grain Production details'!D42</f>
        <v>10264.320000000002</v>
      </c>
      <c r="E11" s="191">
        <f>'10.Grain Production details'!E42</f>
        <v>11119.680000000002</v>
      </c>
      <c r="F11" s="191">
        <f>'10.Grain Production details'!F42</f>
        <v>11975.040000000003</v>
      </c>
      <c r="G11" s="191">
        <f>'10.Grain Production details'!G42</f>
        <v>12830.400000000005</v>
      </c>
      <c r="H11" s="191">
        <f>'10.Grain Production details'!H42</f>
        <v>13685.760000000006</v>
      </c>
    </row>
    <row r="12" spans="1:8">
      <c r="A12" s="191" t="str">
        <f>'10.Grain Production details'!A43</f>
        <v>Red Gram/Tur</v>
      </c>
      <c r="B12" s="191">
        <f>'10.Grain Production details'!B43</f>
        <v>0</v>
      </c>
      <c r="C12" s="191">
        <f>'10.Grain Production details'!C43</f>
        <v>0</v>
      </c>
      <c r="D12" s="191">
        <f>'10.Grain Production details'!D43</f>
        <v>0</v>
      </c>
      <c r="E12" s="191">
        <f>'10.Grain Production details'!E43</f>
        <v>0</v>
      </c>
      <c r="F12" s="191">
        <f>'10.Grain Production details'!F43</f>
        <v>0</v>
      </c>
      <c r="G12" s="191">
        <f>'10.Grain Production details'!G43</f>
        <v>0</v>
      </c>
      <c r="H12" s="191">
        <f>'10.Grain Production details'!H43</f>
        <v>0</v>
      </c>
    </row>
    <row r="13" spans="1:8">
      <c r="A13" s="191" t="str">
        <f>'10.Grain Production details'!A44</f>
        <v>Paddy/Rice</v>
      </c>
      <c r="B13" s="191">
        <f>'10.Grain Production details'!B44</f>
        <v>0</v>
      </c>
      <c r="C13" s="191">
        <f>'10.Grain Production details'!C44</f>
        <v>0</v>
      </c>
      <c r="D13" s="191">
        <f>'10.Grain Production details'!D44</f>
        <v>0</v>
      </c>
      <c r="E13" s="191">
        <f>'10.Grain Production details'!E44</f>
        <v>0</v>
      </c>
      <c r="F13" s="191">
        <f>'10.Grain Production details'!F44</f>
        <v>0</v>
      </c>
      <c r="G13" s="191">
        <f>'10.Grain Production details'!G44</f>
        <v>0</v>
      </c>
      <c r="H13" s="191">
        <f>'10.Grain Production details'!H44</f>
        <v>0</v>
      </c>
    </row>
    <row r="14" spans="1:8">
      <c r="A14" s="191" t="str">
        <f>'10.Grain Production details'!A45</f>
        <v>Green Gram/ Moong</v>
      </c>
      <c r="B14" s="191">
        <f>'10.Grain Production details'!B45</f>
        <v>0</v>
      </c>
      <c r="C14" s="191">
        <f>'10.Grain Production details'!C45</f>
        <v>0</v>
      </c>
      <c r="D14" s="191">
        <f>'10.Grain Production details'!D45</f>
        <v>0</v>
      </c>
      <c r="E14" s="191">
        <f>'10.Grain Production details'!E45</f>
        <v>0</v>
      </c>
      <c r="F14" s="191">
        <f>'10.Grain Production details'!F45</f>
        <v>0</v>
      </c>
      <c r="G14" s="191">
        <f>'10.Grain Production details'!G45</f>
        <v>0</v>
      </c>
      <c r="H14" s="191">
        <f>'10.Grain Production details'!H45</f>
        <v>0</v>
      </c>
    </row>
    <row r="15" spans="1:8">
      <c r="A15" s="191" t="str">
        <f>'10.Grain Production details'!A46</f>
        <v>Maize</v>
      </c>
      <c r="B15" s="191">
        <f>'10.Grain Production details'!B46</f>
        <v>0</v>
      </c>
      <c r="C15" s="191">
        <f>'10.Grain Production details'!C46</f>
        <v>0</v>
      </c>
      <c r="D15" s="191">
        <f>'10.Grain Production details'!D46</f>
        <v>0</v>
      </c>
      <c r="E15" s="191">
        <f>'10.Grain Production details'!E46</f>
        <v>0</v>
      </c>
      <c r="F15" s="191">
        <f>'10.Grain Production details'!F46</f>
        <v>0</v>
      </c>
      <c r="G15" s="191">
        <f>'10.Grain Production details'!G46</f>
        <v>0</v>
      </c>
      <c r="H15" s="191">
        <f>'10.Grain Production details'!H46</f>
        <v>0</v>
      </c>
    </row>
    <row r="16" spans="1:8">
      <c r="A16" s="191" t="str">
        <f>'10.Grain Production details'!A47</f>
        <v>Black Gram/Udid</v>
      </c>
      <c r="B16" s="191">
        <f>'10.Grain Production details'!B47</f>
        <v>0</v>
      </c>
      <c r="C16" s="191">
        <f>'10.Grain Production details'!C47</f>
        <v>0</v>
      </c>
      <c r="D16" s="191">
        <f>'10.Grain Production details'!D47</f>
        <v>0</v>
      </c>
      <c r="E16" s="191">
        <f>'10.Grain Production details'!E47</f>
        <v>0</v>
      </c>
      <c r="F16" s="191">
        <f>'10.Grain Production details'!F47</f>
        <v>0</v>
      </c>
      <c r="G16" s="191">
        <f>'10.Grain Production details'!G47</f>
        <v>0</v>
      </c>
      <c r="H16" s="191">
        <f>'10.Grain Production details'!H47</f>
        <v>0</v>
      </c>
    </row>
    <row r="17" spans="1:8">
      <c r="A17" s="191" t="str">
        <f>'10.Grain Production details'!A48</f>
        <v>Bajra</v>
      </c>
      <c r="B17" s="191">
        <f>'10.Grain Production details'!B48</f>
        <v>0</v>
      </c>
      <c r="C17" s="191">
        <f>'10.Grain Production details'!C48</f>
        <v>0</v>
      </c>
      <c r="D17" s="191">
        <f>'10.Grain Production details'!D48</f>
        <v>0</v>
      </c>
      <c r="E17" s="191">
        <f>'10.Grain Production details'!E48</f>
        <v>0</v>
      </c>
      <c r="F17" s="191">
        <f>'10.Grain Production details'!F48</f>
        <v>0</v>
      </c>
      <c r="G17" s="191">
        <f>'10.Grain Production details'!G48</f>
        <v>0</v>
      </c>
      <c r="H17" s="191">
        <f>'10.Grain Production details'!H48</f>
        <v>0</v>
      </c>
    </row>
    <row r="18" spans="1:8">
      <c r="A18" s="191" t="str">
        <f>'10.Grain Production details'!A49</f>
        <v>Jawar</v>
      </c>
      <c r="B18" s="191">
        <f>'10.Grain Production details'!B49</f>
        <v>0</v>
      </c>
      <c r="C18" s="191">
        <f>'10.Grain Production details'!C49</f>
        <v>0</v>
      </c>
      <c r="D18" s="191">
        <f>'10.Grain Production details'!D49</f>
        <v>0</v>
      </c>
      <c r="E18" s="191">
        <f>'10.Grain Production details'!E49</f>
        <v>0</v>
      </c>
      <c r="F18" s="191">
        <f>'10.Grain Production details'!F49</f>
        <v>0</v>
      </c>
      <c r="G18" s="191">
        <f>'10.Grain Production details'!G49</f>
        <v>0</v>
      </c>
      <c r="H18" s="191">
        <f>'10.Grain Production details'!H49</f>
        <v>0</v>
      </c>
    </row>
    <row r="19" spans="1:8">
      <c r="A19" s="191" t="str">
        <f>'10.Grain Production details'!A50</f>
        <v>Sunflower</v>
      </c>
      <c r="B19" s="191">
        <f>'10.Grain Production details'!B50</f>
        <v>0</v>
      </c>
      <c r="C19" s="191">
        <f>'10.Grain Production details'!C50</f>
        <v>0</v>
      </c>
      <c r="D19" s="191">
        <f>'10.Grain Production details'!D50</f>
        <v>0</v>
      </c>
      <c r="E19" s="191">
        <f>'10.Grain Production details'!E50</f>
        <v>0</v>
      </c>
      <c r="F19" s="191">
        <f>'10.Grain Production details'!F50</f>
        <v>0</v>
      </c>
      <c r="G19" s="191">
        <f>'10.Grain Production details'!G50</f>
        <v>0</v>
      </c>
      <c r="H19" s="191">
        <f>'10.Grain Production details'!H50</f>
        <v>0</v>
      </c>
    </row>
    <row r="20" spans="1:8">
      <c r="A20" s="191" t="str">
        <f>'10.Grain Production details'!A51</f>
        <v>Wheat</v>
      </c>
      <c r="B20" s="191">
        <f>'10.Grain Production details'!B51</f>
        <v>0</v>
      </c>
      <c r="C20" s="191">
        <f>'10.Grain Production details'!C51</f>
        <v>0</v>
      </c>
      <c r="D20" s="191">
        <f>'10.Grain Production details'!D51</f>
        <v>0</v>
      </c>
      <c r="E20" s="191">
        <f>'10.Grain Production details'!E51</f>
        <v>0</v>
      </c>
      <c r="F20" s="191">
        <f>'10.Grain Production details'!F51</f>
        <v>0</v>
      </c>
      <c r="G20" s="191">
        <f>'10.Grain Production details'!G51</f>
        <v>0</v>
      </c>
      <c r="H20" s="191">
        <f>'10.Grain Production details'!H51</f>
        <v>0</v>
      </c>
    </row>
    <row r="21" spans="1:8">
      <c r="A21" s="191" t="str">
        <f>'10.Grain Production details'!A52</f>
        <v>Bengal Gram/Channa</v>
      </c>
      <c r="B21" s="191">
        <f>'10.Grain Production details'!B52</f>
        <v>1267.2</v>
      </c>
      <c r="C21" s="191">
        <f>'10.Grain Production details'!C52</f>
        <v>1393.92</v>
      </c>
      <c r="D21" s="191">
        <f>'10.Grain Production details'!D52</f>
        <v>1520.6400000000003</v>
      </c>
      <c r="E21" s="191">
        <f>'10.Grain Production details'!E52</f>
        <v>1647.3600000000004</v>
      </c>
      <c r="F21" s="191">
        <f>'10.Grain Production details'!F52</f>
        <v>1774.0800000000006</v>
      </c>
      <c r="G21" s="191">
        <f>'10.Grain Production details'!G52</f>
        <v>1900.8000000000006</v>
      </c>
      <c r="H21" s="191">
        <f>'10.Grain Production details'!H52</f>
        <v>2027.5200000000007</v>
      </c>
    </row>
    <row r="22" spans="1:8">
      <c r="A22" s="191" t="str">
        <f>'10.Grain Production details'!A53</f>
        <v>Jawar</v>
      </c>
      <c r="B22" s="191">
        <f>'10.Grain Production details'!B53</f>
        <v>0</v>
      </c>
      <c r="C22" s="191">
        <f>'10.Grain Production details'!C53</f>
        <v>0</v>
      </c>
      <c r="D22" s="191">
        <f>'10.Grain Production details'!D53</f>
        <v>0</v>
      </c>
      <c r="E22" s="191">
        <f>'10.Grain Production details'!E53</f>
        <v>0</v>
      </c>
      <c r="F22" s="191">
        <f>'10.Grain Production details'!F53</f>
        <v>0</v>
      </c>
      <c r="G22" s="191">
        <f>'10.Grain Production details'!G53</f>
        <v>0</v>
      </c>
      <c r="H22" s="191">
        <f>'10.Grain Production details'!H53</f>
        <v>0</v>
      </c>
    </row>
    <row r="23" spans="1:8">
      <c r="A23" s="191" t="str">
        <f>'10.Grain Production details'!A54</f>
        <v>Maize</v>
      </c>
      <c r="B23" s="191">
        <f>'10.Grain Production details'!B54</f>
        <v>0</v>
      </c>
      <c r="C23" s="191">
        <f>'10.Grain Production details'!C54</f>
        <v>0</v>
      </c>
      <c r="D23" s="191">
        <f>'10.Grain Production details'!D54</f>
        <v>0</v>
      </c>
      <c r="E23" s="191">
        <f>'10.Grain Production details'!E54</f>
        <v>0</v>
      </c>
      <c r="F23" s="191">
        <f>'10.Grain Production details'!F54</f>
        <v>0</v>
      </c>
      <c r="G23" s="191">
        <f>'10.Grain Production details'!G54</f>
        <v>0</v>
      </c>
      <c r="H23" s="191">
        <f>'10.Grain Production details'!H54</f>
        <v>0</v>
      </c>
    </row>
    <row r="24" spans="1:8">
      <c r="A24" s="191" t="str">
        <f>'10.Grain Production details'!A55</f>
        <v>Safflower</v>
      </c>
      <c r="B24" s="191">
        <f>'10.Grain Production details'!B55</f>
        <v>0</v>
      </c>
      <c r="C24" s="191">
        <f>'10.Grain Production details'!C55</f>
        <v>0</v>
      </c>
      <c r="D24" s="191">
        <f>'10.Grain Production details'!D55</f>
        <v>0</v>
      </c>
      <c r="E24" s="191">
        <f>'10.Grain Production details'!E55</f>
        <v>0</v>
      </c>
      <c r="F24" s="191">
        <f>'10.Grain Production details'!F55</f>
        <v>0</v>
      </c>
      <c r="G24" s="191">
        <f>'10.Grain Production details'!G55</f>
        <v>0</v>
      </c>
      <c r="H24" s="191">
        <f>'10.Grain Production details'!H55</f>
        <v>0</v>
      </c>
    </row>
    <row r="25" spans="1:8">
      <c r="A25" s="191">
        <f>'10.Grain Production details'!A56</f>
        <v>0</v>
      </c>
      <c r="B25" s="191">
        <f>'10.Grain Production details'!B56</f>
        <v>0</v>
      </c>
      <c r="C25" s="191">
        <f>'10.Grain Production details'!C56</f>
        <v>0</v>
      </c>
      <c r="D25" s="191">
        <f>'10.Grain Production details'!D56</f>
        <v>0</v>
      </c>
      <c r="E25" s="191">
        <f>'10.Grain Production details'!E56</f>
        <v>0</v>
      </c>
      <c r="F25" s="191">
        <f>'10.Grain Production details'!F56</f>
        <v>0</v>
      </c>
      <c r="G25" s="191">
        <f>'10.Grain Production details'!G56</f>
        <v>0</v>
      </c>
      <c r="H25" s="191">
        <f>'10.Grain Production details'!H56</f>
        <v>0</v>
      </c>
    </row>
    <row r="26" spans="1:8">
      <c r="A26" s="191">
        <f>'10.Grain Production details'!A57</f>
        <v>0</v>
      </c>
      <c r="B26" s="191">
        <f>'10.Grain Production details'!B57</f>
        <v>0</v>
      </c>
      <c r="C26" s="191">
        <f>'10.Grain Production details'!C57</f>
        <v>0</v>
      </c>
      <c r="D26" s="191">
        <f>'10.Grain Production details'!D57</f>
        <v>0</v>
      </c>
      <c r="E26" s="191">
        <f>'10.Grain Production details'!E57</f>
        <v>0</v>
      </c>
      <c r="F26" s="191">
        <f>'10.Grain Production details'!F57</f>
        <v>0</v>
      </c>
      <c r="G26" s="191">
        <f>'10.Grain Production details'!G57</f>
        <v>0</v>
      </c>
      <c r="H26" s="191">
        <f>'10.Grain Production details'!H57</f>
        <v>0</v>
      </c>
    </row>
    <row r="27" spans="1:8">
      <c r="A27" s="191">
        <f>'10.Grain Production details'!A58</f>
        <v>0</v>
      </c>
      <c r="B27" s="191">
        <f>'10.Grain Production details'!B58</f>
        <v>0</v>
      </c>
      <c r="C27" s="191">
        <f>'10.Grain Production details'!C58</f>
        <v>0</v>
      </c>
      <c r="D27" s="191">
        <f>'10.Grain Production details'!D58</f>
        <v>0</v>
      </c>
      <c r="E27" s="191">
        <f>'10.Grain Production details'!E58</f>
        <v>0</v>
      </c>
      <c r="F27" s="191">
        <f>'10.Grain Production details'!F58</f>
        <v>0</v>
      </c>
      <c r="G27" s="191">
        <f>'10.Grain Production details'!G58</f>
        <v>0</v>
      </c>
      <c r="H27" s="191">
        <f>'10.Grain Production details'!H58</f>
        <v>0</v>
      </c>
    </row>
    <row r="28" spans="1:8">
      <c r="A28" s="191" t="str">
        <f>'10.Grain Production details'!A59</f>
        <v>Groundnut</v>
      </c>
      <c r="B28" s="191">
        <f>'10.Grain Production details'!B59</f>
        <v>0</v>
      </c>
      <c r="C28" s="191">
        <f>'10.Grain Production details'!C59</f>
        <v>0</v>
      </c>
      <c r="D28" s="191">
        <f>'10.Grain Production details'!D59</f>
        <v>0</v>
      </c>
      <c r="E28" s="191">
        <f>'10.Grain Production details'!E59</f>
        <v>0</v>
      </c>
      <c r="F28" s="191">
        <f>'10.Grain Production details'!F59</f>
        <v>0</v>
      </c>
      <c r="G28" s="191">
        <f>'10.Grain Production details'!G59</f>
        <v>0</v>
      </c>
      <c r="H28" s="191">
        <f>'10.Grain Production details'!H59</f>
        <v>0</v>
      </c>
    </row>
    <row r="29" spans="1:8">
      <c r="A29" s="191">
        <f>'10.Grain Production details'!A60</f>
        <v>0</v>
      </c>
      <c r="B29" s="191">
        <f>'10.Grain Production details'!B60</f>
        <v>0</v>
      </c>
      <c r="C29" s="191">
        <f>'10.Grain Production details'!C60</f>
        <v>0</v>
      </c>
      <c r="D29" s="191">
        <f>'10.Grain Production details'!D60</f>
        <v>0</v>
      </c>
      <c r="E29" s="191">
        <f>'10.Grain Production details'!E60</f>
        <v>0</v>
      </c>
      <c r="F29" s="191">
        <f>'10.Grain Production details'!F60</f>
        <v>0</v>
      </c>
      <c r="G29" s="191">
        <f>'10.Grain Production details'!G60</f>
        <v>0</v>
      </c>
      <c r="H29" s="191">
        <f>'10.Grain Production details'!H60</f>
        <v>0</v>
      </c>
    </row>
    <row r="30" spans="1:8">
      <c r="A30" s="191">
        <f>'10.Grain Production details'!A61</f>
        <v>0</v>
      </c>
      <c r="B30" s="191">
        <f>'10.Grain Production details'!B61</f>
        <v>0</v>
      </c>
      <c r="C30" s="191">
        <f>'10.Grain Production details'!C61</f>
        <v>0</v>
      </c>
      <c r="D30" s="191">
        <f>'10.Grain Production details'!D61</f>
        <v>0</v>
      </c>
      <c r="E30" s="191">
        <f>'10.Grain Production details'!E61</f>
        <v>0</v>
      </c>
      <c r="F30" s="191">
        <f>'10.Grain Production details'!F61</f>
        <v>0</v>
      </c>
      <c r="G30" s="191">
        <f>'10.Grain Production details'!G61</f>
        <v>0</v>
      </c>
      <c r="H30" s="191">
        <f>'10.Grain Production details'!H61</f>
        <v>0</v>
      </c>
    </row>
    <row r="31" spans="1:8">
      <c r="A31" s="191">
        <f>'10.Grain Production details'!A62</f>
        <v>0</v>
      </c>
      <c r="B31" s="191">
        <f>'10.Grain Production details'!B62</f>
        <v>0</v>
      </c>
      <c r="C31" s="191">
        <f>'10.Grain Production details'!C62</f>
        <v>0</v>
      </c>
      <c r="D31" s="191">
        <f>'10.Grain Production details'!D62</f>
        <v>0</v>
      </c>
      <c r="E31" s="191">
        <f>'10.Grain Production details'!E62</f>
        <v>0</v>
      </c>
      <c r="F31" s="191">
        <f>'10.Grain Production details'!F62</f>
        <v>0</v>
      </c>
      <c r="G31" s="191">
        <f>'10.Grain Production details'!G62</f>
        <v>0</v>
      </c>
      <c r="H31" s="191">
        <f>'10.Grain Production details'!H62</f>
        <v>0</v>
      </c>
    </row>
    <row r="32" spans="1:8">
      <c r="A32" s="191">
        <f>'10.Grain Production details'!B63</f>
        <v>0</v>
      </c>
      <c r="B32" s="191">
        <f>'10.Grain Production details'!C63</f>
        <v>0</v>
      </c>
      <c r="C32" s="191">
        <f>'10.Grain Production details'!D63</f>
        <v>0</v>
      </c>
      <c r="D32" s="191">
        <f>'10.Grain Production details'!E63</f>
        <v>0</v>
      </c>
      <c r="E32" s="191">
        <f>'10.Grain Production details'!F63</f>
        <v>0</v>
      </c>
      <c r="F32" s="191">
        <f>'10.Grain Production details'!G63</f>
        <v>0</v>
      </c>
      <c r="G32" s="191">
        <f>'10.Grain Production details'!H63</f>
        <v>0</v>
      </c>
      <c r="H32" s="191">
        <f>'10.Grain Production details'!I63</f>
        <v>0</v>
      </c>
    </row>
    <row r="33" spans="1:8">
      <c r="A33" s="97" t="s">
        <v>534</v>
      </c>
      <c r="B33" s="191">
        <f>SUM(B11:B32)</f>
        <v>9820.8000000000011</v>
      </c>
      <c r="C33" s="191">
        <f t="shared" ref="C33:H33" si="1">SUM(C11:C32)</f>
        <v>10802.880000000001</v>
      </c>
      <c r="D33" s="191">
        <f t="shared" si="1"/>
        <v>11784.960000000003</v>
      </c>
      <c r="E33" s="191">
        <f t="shared" si="1"/>
        <v>12767.040000000003</v>
      </c>
      <c r="F33" s="191">
        <f t="shared" si="1"/>
        <v>13749.120000000003</v>
      </c>
      <c r="G33" s="191">
        <f t="shared" si="1"/>
        <v>14731.200000000006</v>
      </c>
      <c r="H33" s="191">
        <f t="shared" si="1"/>
        <v>15713.280000000006</v>
      </c>
    </row>
    <row r="34" spans="1:8">
      <c r="A34" s="191" t="str">
        <f>'11.F&amp;V Crop Production details'!A1:H1</f>
        <v>Fruit  &amp; Vegetables Crop Production Details</v>
      </c>
      <c r="B34" s="191"/>
      <c r="C34" s="191"/>
      <c r="D34" s="191"/>
      <c r="E34" s="191"/>
      <c r="F34" s="191"/>
      <c r="G34" s="191"/>
      <c r="H34" s="191"/>
    </row>
    <row r="35" spans="1:8">
      <c r="A35" s="191" t="str">
        <f>'11.F&amp;V Crop Production details'!A46</f>
        <v>Onion</v>
      </c>
      <c r="B35" s="191">
        <f>'11.F&amp;V Crop Production details'!B46</f>
        <v>0</v>
      </c>
      <c r="C35" s="191">
        <f>'11.F&amp;V Crop Production details'!C46</f>
        <v>0</v>
      </c>
      <c r="D35" s="191">
        <f>'11.F&amp;V Crop Production details'!D46</f>
        <v>0</v>
      </c>
      <c r="E35" s="191">
        <f>'11.F&amp;V Crop Production details'!E46</f>
        <v>0</v>
      </c>
      <c r="F35" s="191">
        <f>'11.F&amp;V Crop Production details'!F46</f>
        <v>0</v>
      </c>
      <c r="G35" s="191">
        <f>'11.F&amp;V Crop Production details'!G46</f>
        <v>0</v>
      </c>
      <c r="H35" s="191">
        <f>'11.F&amp;V Crop Production details'!H46</f>
        <v>0</v>
      </c>
    </row>
    <row r="36" spans="1:8">
      <c r="A36" s="191" t="str">
        <f>'11.F&amp;V Crop Production details'!A47</f>
        <v>Tomato</v>
      </c>
      <c r="B36" s="191">
        <f>'11.F&amp;V Crop Production details'!B47</f>
        <v>0</v>
      </c>
      <c r="C36" s="191">
        <f>'11.F&amp;V Crop Production details'!C47</f>
        <v>0</v>
      </c>
      <c r="D36" s="191">
        <f>'11.F&amp;V Crop Production details'!D47</f>
        <v>0</v>
      </c>
      <c r="E36" s="191">
        <f>'11.F&amp;V Crop Production details'!E47</f>
        <v>0</v>
      </c>
      <c r="F36" s="191">
        <f>'11.F&amp;V Crop Production details'!F47</f>
        <v>0</v>
      </c>
      <c r="G36" s="191">
        <f>'11.F&amp;V Crop Production details'!G47</f>
        <v>0</v>
      </c>
      <c r="H36" s="191">
        <f>'11.F&amp;V Crop Production details'!H47</f>
        <v>0</v>
      </c>
    </row>
    <row r="37" spans="1:8">
      <c r="A37" s="191" t="str">
        <f>'11.F&amp;V Crop Production details'!A48</f>
        <v>Okra</v>
      </c>
      <c r="B37" s="191">
        <f>'11.F&amp;V Crop Production details'!B48</f>
        <v>0</v>
      </c>
      <c r="C37" s="191">
        <f>'11.F&amp;V Crop Production details'!C48</f>
        <v>0</v>
      </c>
      <c r="D37" s="191">
        <f>'11.F&amp;V Crop Production details'!D48</f>
        <v>0</v>
      </c>
      <c r="E37" s="191">
        <f>'11.F&amp;V Crop Production details'!E48</f>
        <v>0</v>
      </c>
      <c r="F37" s="191">
        <f>'11.F&amp;V Crop Production details'!F48</f>
        <v>0</v>
      </c>
      <c r="G37" s="191">
        <f>'11.F&amp;V Crop Production details'!G48</f>
        <v>0</v>
      </c>
      <c r="H37" s="191">
        <f>'11.F&amp;V Crop Production details'!H48</f>
        <v>0</v>
      </c>
    </row>
    <row r="38" spans="1:8">
      <c r="A38" s="191" t="str">
        <f>'11.F&amp;V Crop Production details'!A49</f>
        <v>Chilli</v>
      </c>
      <c r="B38" s="191">
        <f>'11.F&amp;V Crop Production details'!B49</f>
        <v>0</v>
      </c>
      <c r="C38" s="191">
        <f>'11.F&amp;V Crop Production details'!C49</f>
        <v>0</v>
      </c>
      <c r="D38" s="191">
        <f>'11.F&amp;V Crop Production details'!D49</f>
        <v>0</v>
      </c>
      <c r="E38" s="191">
        <f>'11.F&amp;V Crop Production details'!E49</f>
        <v>0</v>
      </c>
      <c r="F38" s="191">
        <f>'11.F&amp;V Crop Production details'!F49</f>
        <v>0</v>
      </c>
      <c r="G38" s="191">
        <f>'11.F&amp;V Crop Production details'!G49</f>
        <v>0</v>
      </c>
      <c r="H38" s="191">
        <f>'11.F&amp;V Crop Production details'!H49</f>
        <v>0</v>
      </c>
    </row>
    <row r="39" spans="1:8">
      <c r="A39" s="191" t="str">
        <f>'11.F&amp;V Crop Production details'!A50</f>
        <v>Potato</v>
      </c>
      <c r="B39" s="191">
        <f>'11.F&amp;V Crop Production details'!B50</f>
        <v>0</v>
      </c>
      <c r="C39" s="191">
        <f>'11.F&amp;V Crop Production details'!C50</f>
        <v>0</v>
      </c>
      <c r="D39" s="191">
        <f>'11.F&amp;V Crop Production details'!D50</f>
        <v>0</v>
      </c>
      <c r="E39" s="191">
        <f>'11.F&amp;V Crop Production details'!E50</f>
        <v>0</v>
      </c>
      <c r="F39" s="191">
        <f>'11.F&amp;V Crop Production details'!F50</f>
        <v>0</v>
      </c>
      <c r="G39" s="191">
        <f>'11.F&amp;V Crop Production details'!G50</f>
        <v>0</v>
      </c>
      <c r="H39" s="191">
        <f>'11.F&amp;V Crop Production details'!H50</f>
        <v>0</v>
      </c>
    </row>
    <row r="40" spans="1:8">
      <c r="A40" s="191">
        <f>'11.F&amp;V Crop Production details'!A51</f>
        <v>0</v>
      </c>
      <c r="B40" s="191">
        <f>'11.F&amp;V Crop Production details'!B51</f>
        <v>0</v>
      </c>
      <c r="C40" s="191">
        <f>'11.F&amp;V Crop Production details'!C51</f>
        <v>0</v>
      </c>
      <c r="D40" s="191">
        <f>'11.F&amp;V Crop Production details'!D51</f>
        <v>0</v>
      </c>
      <c r="E40" s="191">
        <f>'11.F&amp;V Crop Production details'!E51</f>
        <v>0</v>
      </c>
      <c r="F40" s="191">
        <f>'11.F&amp;V Crop Production details'!F51</f>
        <v>0</v>
      </c>
      <c r="G40" s="191">
        <f>'11.F&amp;V Crop Production details'!G51</f>
        <v>0</v>
      </c>
      <c r="H40" s="191">
        <f>'11.F&amp;V Crop Production details'!H51</f>
        <v>0</v>
      </c>
    </row>
    <row r="41" spans="1:8">
      <c r="A41" s="191">
        <f>'11.F&amp;V Crop Production details'!A52</f>
        <v>0</v>
      </c>
      <c r="B41" s="191">
        <f>'11.F&amp;V Crop Production details'!B52</f>
        <v>0</v>
      </c>
      <c r="C41" s="191">
        <f>'11.F&amp;V Crop Production details'!C52</f>
        <v>0</v>
      </c>
      <c r="D41" s="191">
        <f>'11.F&amp;V Crop Production details'!D52</f>
        <v>0</v>
      </c>
      <c r="E41" s="191">
        <f>'11.F&amp;V Crop Production details'!E52</f>
        <v>0</v>
      </c>
      <c r="F41" s="191">
        <f>'11.F&amp;V Crop Production details'!F52</f>
        <v>0</v>
      </c>
      <c r="G41" s="191">
        <f>'11.F&amp;V Crop Production details'!G52</f>
        <v>0</v>
      </c>
      <c r="H41" s="191">
        <f>'11.F&amp;V Crop Production details'!H52</f>
        <v>0</v>
      </c>
    </row>
    <row r="42" spans="1:8">
      <c r="A42" s="191">
        <f>'11.F&amp;V Crop Production details'!A53</f>
        <v>0</v>
      </c>
      <c r="B42" s="191">
        <f>'11.F&amp;V Crop Production details'!B53</f>
        <v>0</v>
      </c>
      <c r="C42" s="191">
        <f>'11.F&amp;V Crop Production details'!C53</f>
        <v>0</v>
      </c>
      <c r="D42" s="191">
        <f>'11.F&amp;V Crop Production details'!D53</f>
        <v>0</v>
      </c>
      <c r="E42" s="191">
        <f>'11.F&amp;V Crop Production details'!E53</f>
        <v>0</v>
      </c>
      <c r="F42" s="191">
        <f>'11.F&amp;V Crop Production details'!F53</f>
        <v>0</v>
      </c>
      <c r="G42" s="191">
        <f>'11.F&amp;V Crop Production details'!G53</f>
        <v>0</v>
      </c>
      <c r="H42" s="191">
        <f>'11.F&amp;V Crop Production details'!H53</f>
        <v>0</v>
      </c>
    </row>
    <row r="43" spans="1:8">
      <c r="A43" s="191">
        <f>'11.F&amp;V Crop Production details'!A54</f>
        <v>0</v>
      </c>
      <c r="B43" s="191">
        <f>'11.F&amp;V Crop Production details'!B54</f>
        <v>0</v>
      </c>
      <c r="C43" s="191">
        <f>'11.F&amp;V Crop Production details'!C54</f>
        <v>0</v>
      </c>
      <c r="D43" s="191">
        <f>'11.F&amp;V Crop Production details'!D54</f>
        <v>0</v>
      </c>
      <c r="E43" s="191">
        <f>'11.F&amp;V Crop Production details'!E54</f>
        <v>0</v>
      </c>
      <c r="F43" s="191">
        <f>'11.F&amp;V Crop Production details'!F54</f>
        <v>0</v>
      </c>
      <c r="G43" s="191">
        <f>'11.F&amp;V Crop Production details'!G54</f>
        <v>0</v>
      </c>
      <c r="H43" s="191">
        <f>'11.F&amp;V Crop Production details'!H54</f>
        <v>0</v>
      </c>
    </row>
    <row r="44" spans="1:8">
      <c r="A44" s="191" t="str">
        <f>'11.F&amp;V Crop Production details'!A55</f>
        <v>Onion</v>
      </c>
      <c r="B44" s="191">
        <f>'11.F&amp;V Crop Production details'!B55</f>
        <v>0</v>
      </c>
      <c r="C44" s="191">
        <f>'11.F&amp;V Crop Production details'!C55</f>
        <v>0</v>
      </c>
      <c r="D44" s="191">
        <f>'11.F&amp;V Crop Production details'!D55</f>
        <v>0</v>
      </c>
      <c r="E44" s="191">
        <f>'11.F&amp;V Crop Production details'!E55</f>
        <v>0</v>
      </c>
      <c r="F44" s="191">
        <f>'11.F&amp;V Crop Production details'!F55</f>
        <v>0</v>
      </c>
      <c r="G44" s="191">
        <f>'11.F&amp;V Crop Production details'!G55</f>
        <v>0</v>
      </c>
      <c r="H44" s="191">
        <f>'11.F&amp;V Crop Production details'!H55</f>
        <v>0</v>
      </c>
    </row>
    <row r="45" spans="1:8">
      <c r="A45" s="191" t="str">
        <f>'11.F&amp;V Crop Production details'!A56</f>
        <v>Tomato</v>
      </c>
      <c r="B45" s="191">
        <f>'11.F&amp;V Crop Production details'!B56</f>
        <v>0</v>
      </c>
      <c r="C45" s="191">
        <f>'11.F&amp;V Crop Production details'!C56</f>
        <v>0</v>
      </c>
      <c r="D45" s="191">
        <f>'11.F&amp;V Crop Production details'!D56</f>
        <v>0</v>
      </c>
      <c r="E45" s="191">
        <f>'11.F&amp;V Crop Production details'!E56</f>
        <v>0</v>
      </c>
      <c r="F45" s="191">
        <f>'11.F&amp;V Crop Production details'!F56</f>
        <v>0</v>
      </c>
      <c r="G45" s="191">
        <f>'11.F&amp;V Crop Production details'!G56</f>
        <v>0</v>
      </c>
      <c r="H45" s="191">
        <f>'11.F&amp;V Crop Production details'!H56</f>
        <v>0</v>
      </c>
    </row>
    <row r="46" spans="1:8">
      <c r="A46" s="191" t="str">
        <f>'11.F&amp;V Crop Production details'!A57</f>
        <v>Okra</v>
      </c>
      <c r="B46" s="191">
        <f>'11.F&amp;V Crop Production details'!B57</f>
        <v>0</v>
      </c>
      <c r="C46" s="191">
        <f>'11.F&amp;V Crop Production details'!C57</f>
        <v>0</v>
      </c>
      <c r="D46" s="191">
        <f>'11.F&amp;V Crop Production details'!D57</f>
        <v>0</v>
      </c>
      <c r="E46" s="191">
        <f>'11.F&amp;V Crop Production details'!E57</f>
        <v>0</v>
      </c>
      <c r="F46" s="191">
        <f>'11.F&amp;V Crop Production details'!F57</f>
        <v>0</v>
      </c>
      <c r="G46" s="191">
        <f>'11.F&amp;V Crop Production details'!G57</f>
        <v>0</v>
      </c>
      <c r="H46" s="191">
        <f>'11.F&amp;V Crop Production details'!H57</f>
        <v>0</v>
      </c>
    </row>
    <row r="47" spans="1:8">
      <c r="A47" s="191" t="str">
        <f>'11.F&amp;V Crop Production details'!A58</f>
        <v>Chilli</v>
      </c>
      <c r="B47" s="191">
        <f>'11.F&amp;V Crop Production details'!B58</f>
        <v>0</v>
      </c>
      <c r="C47" s="191">
        <f>'11.F&amp;V Crop Production details'!C58</f>
        <v>0</v>
      </c>
      <c r="D47" s="191">
        <f>'11.F&amp;V Crop Production details'!D58</f>
        <v>0</v>
      </c>
      <c r="E47" s="191">
        <f>'11.F&amp;V Crop Production details'!E58</f>
        <v>0</v>
      </c>
      <c r="F47" s="191">
        <f>'11.F&amp;V Crop Production details'!F58</f>
        <v>0</v>
      </c>
      <c r="G47" s="191">
        <f>'11.F&amp;V Crop Production details'!G58</f>
        <v>0</v>
      </c>
      <c r="H47" s="191">
        <f>'11.F&amp;V Crop Production details'!H58</f>
        <v>0</v>
      </c>
    </row>
    <row r="48" spans="1:8">
      <c r="A48" s="191" t="str">
        <f>'11.F&amp;V Crop Production details'!A59</f>
        <v>Brinjal</v>
      </c>
      <c r="B48" s="191">
        <f>'11.F&amp;V Crop Production details'!B59</f>
        <v>0</v>
      </c>
      <c r="C48" s="191">
        <f>'11.F&amp;V Crop Production details'!C59</f>
        <v>0</v>
      </c>
      <c r="D48" s="191">
        <f>'11.F&amp;V Crop Production details'!D59</f>
        <v>0</v>
      </c>
      <c r="E48" s="191">
        <f>'11.F&amp;V Crop Production details'!E59</f>
        <v>0</v>
      </c>
      <c r="F48" s="191">
        <f>'11.F&amp;V Crop Production details'!F59</f>
        <v>0</v>
      </c>
      <c r="G48" s="191">
        <f>'11.F&amp;V Crop Production details'!G59</f>
        <v>0</v>
      </c>
      <c r="H48" s="191">
        <f>'11.F&amp;V Crop Production details'!H59</f>
        <v>0</v>
      </c>
    </row>
    <row r="49" spans="1:8">
      <c r="A49" s="191">
        <f>'11.F&amp;V Crop Production details'!A60</f>
        <v>0</v>
      </c>
      <c r="B49" s="191">
        <f>'11.F&amp;V Crop Production details'!B60</f>
        <v>0</v>
      </c>
      <c r="C49" s="191">
        <f>'11.F&amp;V Crop Production details'!C60</f>
        <v>0</v>
      </c>
      <c r="D49" s="191">
        <f>'11.F&amp;V Crop Production details'!D60</f>
        <v>0</v>
      </c>
      <c r="E49" s="191">
        <f>'11.F&amp;V Crop Production details'!E60</f>
        <v>0</v>
      </c>
      <c r="F49" s="191">
        <f>'11.F&amp;V Crop Production details'!F60</f>
        <v>0</v>
      </c>
      <c r="G49" s="191">
        <f>'11.F&amp;V Crop Production details'!G60</f>
        <v>0</v>
      </c>
      <c r="H49" s="191">
        <f>'11.F&amp;V Crop Production details'!H60</f>
        <v>0</v>
      </c>
    </row>
    <row r="50" spans="1:8">
      <c r="A50" s="191">
        <f>'11.F&amp;V Crop Production details'!A61</f>
        <v>0</v>
      </c>
      <c r="B50" s="191">
        <f>'11.F&amp;V Crop Production details'!B61</f>
        <v>0</v>
      </c>
      <c r="C50" s="191">
        <f>'11.F&amp;V Crop Production details'!C61</f>
        <v>0</v>
      </c>
      <c r="D50" s="191">
        <f>'11.F&amp;V Crop Production details'!D61</f>
        <v>0</v>
      </c>
      <c r="E50" s="191">
        <f>'11.F&amp;V Crop Production details'!E61</f>
        <v>0</v>
      </c>
      <c r="F50" s="191">
        <f>'11.F&amp;V Crop Production details'!F61</f>
        <v>0</v>
      </c>
      <c r="G50" s="191">
        <f>'11.F&amp;V Crop Production details'!G61</f>
        <v>0</v>
      </c>
      <c r="H50" s="191">
        <f>'11.F&amp;V Crop Production details'!H61</f>
        <v>0</v>
      </c>
    </row>
    <row r="51" spans="1:8">
      <c r="A51" s="191">
        <f>'11.F&amp;V Crop Production details'!A62</f>
        <v>0</v>
      </c>
      <c r="B51" s="191">
        <f>'11.F&amp;V Crop Production details'!B62</f>
        <v>0</v>
      </c>
      <c r="C51" s="191">
        <f>'11.F&amp;V Crop Production details'!C62</f>
        <v>0</v>
      </c>
      <c r="D51" s="191">
        <f>'11.F&amp;V Crop Production details'!D62</f>
        <v>0</v>
      </c>
      <c r="E51" s="191">
        <f>'11.F&amp;V Crop Production details'!E62</f>
        <v>0</v>
      </c>
      <c r="F51" s="191">
        <f>'11.F&amp;V Crop Production details'!F62</f>
        <v>0</v>
      </c>
      <c r="G51" s="191">
        <f>'11.F&amp;V Crop Production details'!G62</f>
        <v>0</v>
      </c>
      <c r="H51" s="191">
        <f>'11.F&amp;V Crop Production details'!H62</f>
        <v>0</v>
      </c>
    </row>
    <row r="52" spans="1:8">
      <c r="A52" s="191">
        <f>'11.F&amp;V Crop Production details'!A63</f>
        <v>0</v>
      </c>
      <c r="B52" s="191">
        <f>'11.F&amp;V Crop Production details'!B63</f>
        <v>0</v>
      </c>
      <c r="C52" s="191">
        <f>'11.F&amp;V Crop Production details'!C63</f>
        <v>0</v>
      </c>
      <c r="D52" s="191">
        <f>'11.F&amp;V Crop Production details'!D63</f>
        <v>0</v>
      </c>
      <c r="E52" s="191">
        <f>'11.F&amp;V Crop Production details'!E63</f>
        <v>0</v>
      </c>
      <c r="F52" s="191">
        <f>'11.F&amp;V Crop Production details'!F63</f>
        <v>0</v>
      </c>
      <c r="G52" s="191">
        <f>'11.F&amp;V Crop Production details'!G63</f>
        <v>0</v>
      </c>
      <c r="H52" s="191">
        <f>'11.F&amp;V Crop Production details'!H63</f>
        <v>0</v>
      </c>
    </row>
    <row r="53" spans="1:8">
      <c r="A53" s="191">
        <f>'11.F&amp;V Crop Production details'!A64</f>
        <v>0</v>
      </c>
      <c r="B53" s="191"/>
      <c r="C53" s="191"/>
      <c r="D53" s="191"/>
      <c r="E53" s="191"/>
      <c r="F53" s="191"/>
      <c r="G53" s="191"/>
      <c r="H53" s="191"/>
    </row>
    <row r="54" spans="1:8">
      <c r="A54" s="191">
        <f>'11.F&amp;V Crop Production details'!A65</f>
        <v>0</v>
      </c>
      <c r="B54" s="191"/>
      <c r="C54" s="191"/>
      <c r="D54" s="191"/>
      <c r="E54" s="191"/>
      <c r="F54" s="191"/>
      <c r="G54" s="191"/>
      <c r="H54" s="191"/>
    </row>
    <row r="55" spans="1:8">
      <c r="A55" s="191">
        <f>'11.F&amp;V Crop Production details'!A66</f>
        <v>0</v>
      </c>
      <c r="B55" s="191"/>
      <c r="C55" s="191"/>
      <c r="D55" s="191"/>
      <c r="E55" s="191"/>
      <c r="F55" s="191"/>
      <c r="G55" s="191"/>
      <c r="H55" s="191"/>
    </row>
    <row r="56" spans="1:8">
      <c r="A56" s="191" t="str">
        <f>'11.F&amp;V Crop Production details'!A67</f>
        <v>Pomegranate</v>
      </c>
      <c r="B56" s="191">
        <f>'11.F&amp;V Crop Production details'!B67</f>
        <v>0</v>
      </c>
      <c r="C56" s="191">
        <f>'11.F&amp;V Crop Production details'!C67</f>
        <v>0</v>
      </c>
      <c r="D56" s="191">
        <f>'11.F&amp;V Crop Production details'!D67</f>
        <v>0</v>
      </c>
      <c r="E56" s="191">
        <f>'11.F&amp;V Crop Production details'!E67</f>
        <v>0</v>
      </c>
      <c r="F56" s="191">
        <f>'11.F&amp;V Crop Production details'!F67</f>
        <v>0</v>
      </c>
      <c r="G56" s="191">
        <f>'11.F&amp;V Crop Production details'!G67</f>
        <v>0</v>
      </c>
      <c r="H56" s="191">
        <f>'11.F&amp;V Crop Production details'!H67</f>
        <v>0</v>
      </c>
    </row>
    <row r="57" spans="1:8">
      <c r="A57" s="191" t="str">
        <f>'11.F&amp;V Crop Production details'!A68</f>
        <v>Custard Apple</v>
      </c>
      <c r="B57" s="191">
        <f>'11.F&amp;V Crop Production details'!B68</f>
        <v>0</v>
      </c>
      <c r="C57" s="191">
        <f>'11.F&amp;V Crop Production details'!C68</f>
        <v>0</v>
      </c>
      <c r="D57" s="191">
        <f>'11.F&amp;V Crop Production details'!D68</f>
        <v>0</v>
      </c>
      <c r="E57" s="191">
        <f>'11.F&amp;V Crop Production details'!E68</f>
        <v>0</v>
      </c>
      <c r="F57" s="191">
        <f>'11.F&amp;V Crop Production details'!F68</f>
        <v>0</v>
      </c>
      <c r="G57" s="191">
        <f>'11.F&amp;V Crop Production details'!G68</f>
        <v>0</v>
      </c>
      <c r="H57" s="191">
        <f>'11.F&amp;V Crop Production details'!H68</f>
        <v>0</v>
      </c>
    </row>
    <row r="58" spans="1:8">
      <c r="A58" s="191" t="str">
        <f>'11.F&amp;V Crop Production details'!A69</f>
        <v>Guava</v>
      </c>
      <c r="B58" s="191">
        <f>'11.F&amp;V Crop Production details'!B69</f>
        <v>0</v>
      </c>
      <c r="C58" s="191">
        <f>'11.F&amp;V Crop Production details'!C69</f>
        <v>0</v>
      </c>
      <c r="D58" s="191">
        <f>'11.F&amp;V Crop Production details'!D69</f>
        <v>0</v>
      </c>
      <c r="E58" s="191">
        <f>'11.F&amp;V Crop Production details'!E69</f>
        <v>0</v>
      </c>
      <c r="F58" s="191">
        <f>'11.F&amp;V Crop Production details'!F69</f>
        <v>0</v>
      </c>
      <c r="G58" s="191">
        <f>'11.F&amp;V Crop Production details'!G69</f>
        <v>0</v>
      </c>
      <c r="H58" s="191">
        <f>'11.F&amp;V Crop Production details'!H69</f>
        <v>0</v>
      </c>
    </row>
    <row r="59" spans="1:8">
      <c r="A59" s="191" t="str">
        <f>'11.F&amp;V Crop Production details'!A70</f>
        <v>Citrus</v>
      </c>
      <c r="B59" s="191">
        <f>'11.F&amp;V Crop Production details'!B70</f>
        <v>0</v>
      </c>
      <c r="C59" s="191">
        <f>'11.F&amp;V Crop Production details'!C70</f>
        <v>0</v>
      </c>
      <c r="D59" s="191">
        <f>'11.F&amp;V Crop Production details'!D70</f>
        <v>0</v>
      </c>
      <c r="E59" s="191">
        <f>'11.F&amp;V Crop Production details'!E70</f>
        <v>0</v>
      </c>
      <c r="F59" s="191">
        <f>'11.F&amp;V Crop Production details'!F70</f>
        <v>0</v>
      </c>
      <c r="G59" s="191">
        <f>'11.F&amp;V Crop Production details'!G70</f>
        <v>0</v>
      </c>
      <c r="H59" s="191">
        <f>'11.F&amp;V Crop Production details'!H70</f>
        <v>0</v>
      </c>
    </row>
    <row r="60" spans="1:8">
      <c r="A60" s="191"/>
      <c r="B60" s="191"/>
      <c r="C60" s="191"/>
      <c r="D60" s="191"/>
      <c r="E60" s="191"/>
      <c r="F60" s="191"/>
      <c r="G60" s="191"/>
      <c r="H60" s="191"/>
    </row>
    <row r="61" spans="1:8">
      <c r="A61" s="97" t="s">
        <v>533</v>
      </c>
      <c r="B61" s="191">
        <f t="shared" ref="B61:H61" si="2">SUM(B35:B59)</f>
        <v>0</v>
      </c>
      <c r="C61" s="191">
        <f t="shared" si="2"/>
        <v>0</v>
      </c>
      <c r="D61" s="191">
        <f t="shared" si="2"/>
        <v>0</v>
      </c>
      <c r="E61" s="191">
        <f t="shared" si="2"/>
        <v>0</v>
      </c>
      <c r="F61" s="191">
        <f t="shared" si="2"/>
        <v>0</v>
      </c>
      <c r="G61" s="191">
        <f t="shared" si="2"/>
        <v>0</v>
      </c>
      <c r="H61" s="191">
        <f t="shared" si="2"/>
        <v>0</v>
      </c>
    </row>
    <row r="62" spans="1:8">
      <c r="A62" s="270" t="s">
        <v>535</v>
      </c>
      <c r="B62" s="288">
        <v>0.5</v>
      </c>
      <c r="C62" s="288">
        <v>0.5</v>
      </c>
      <c r="D62" s="288">
        <v>0.5</v>
      </c>
      <c r="E62" s="288">
        <v>0.5</v>
      </c>
      <c r="F62" s="288">
        <v>0.5</v>
      </c>
      <c r="G62" s="288">
        <v>0.5</v>
      </c>
      <c r="H62" s="288">
        <v>0.5</v>
      </c>
    </row>
    <row r="63" spans="1:8">
      <c r="A63" s="270" t="s">
        <v>536</v>
      </c>
      <c r="B63" s="288">
        <f t="shared" ref="B63:H63" si="3">1-B62</f>
        <v>0.5</v>
      </c>
      <c r="C63" s="288">
        <f t="shared" si="3"/>
        <v>0.5</v>
      </c>
      <c r="D63" s="288">
        <f t="shared" si="3"/>
        <v>0.5</v>
      </c>
      <c r="E63" s="288">
        <f t="shared" si="3"/>
        <v>0.5</v>
      </c>
      <c r="F63" s="288">
        <f t="shared" si="3"/>
        <v>0.5</v>
      </c>
      <c r="G63" s="288">
        <f t="shared" si="3"/>
        <v>0.5</v>
      </c>
      <c r="H63" s="288">
        <f t="shared" si="3"/>
        <v>0.5</v>
      </c>
    </row>
    <row r="64" spans="1:8">
      <c r="A64" s="270"/>
      <c r="B64" s="288"/>
      <c r="C64" s="288"/>
      <c r="D64" s="288"/>
      <c r="E64" s="288"/>
      <c r="F64" s="288"/>
      <c r="G64" s="288"/>
      <c r="H64" s="288"/>
    </row>
    <row r="65" spans="1:8">
      <c r="A65" s="270" t="s">
        <v>167</v>
      </c>
      <c r="B65" s="271">
        <f t="shared" ref="B65:H65" si="4">B33*B62</f>
        <v>4910.4000000000005</v>
      </c>
      <c r="C65" s="271">
        <f t="shared" si="4"/>
        <v>5401.4400000000005</v>
      </c>
      <c r="D65" s="271">
        <f t="shared" si="4"/>
        <v>5892.4800000000014</v>
      </c>
      <c r="E65" s="271">
        <f t="shared" si="4"/>
        <v>6383.5200000000013</v>
      </c>
      <c r="F65" s="271">
        <f t="shared" si="4"/>
        <v>6874.5600000000013</v>
      </c>
      <c r="G65" s="271">
        <f t="shared" si="4"/>
        <v>7365.6000000000031</v>
      </c>
      <c r="H65" s="271">
        <f t="shared" si="4"/>
        <v>7856.6400000000031</v>
      </c>
    </row>
    <row r="66" spans="1:8">
      <c r="A66" s="97"/>
      <c r="B66" s="191"/>
      <c r="C66" s="191"/>
      <c r="D66" s="191"/>
      <c r="E66" s="191"/>
      <c r="F66" s="191"/>
      <c r="G66" s="191"/>
      <c r="H66" s="191"/>
    </row>
    <row r="67" spans="1:8">
      <c r="A67" s="97" t="s">
        <v>168</v>
      </c>
      <c r="B67" s="191"/>
      <c r="C67" s="191"/>
      <c r="D67" s="191"/>
      <c r="E67" s="191"/>
      <c r="F67" s="191"/>
      <c r="G67" s="191"/>
      <c r="H67" s="191"/>
    </row>
    <row r="68" spans="1:8">
      <c r="A68" s="95" t="str">
        <f t="shared" ref="A68:A89" si="5">A11</f>
        <v>Soybean</v>
      </c>
      <c r="B68" s="286">
        <f t="shared" ref="B68:B89" si="6">B11*$B$63</f>
        <v>4276.8</v>
      </c>
      <c r="C68" s="286">
        <f t="shared" ref="C68:C83" si="7">C11*$C$63</f>
        <v>4704.4800000000005</v>
      </c>
      <c r="D68" s="286">
        <f t="shared" ref="D68:D83" si="8">D11*$D$63</f>
        <v>5132.1600000000008</v>
      </c>
      <c r="E68" s="286">
        <f t="shared" ref="E68:E83" si="9">E11*$E$63</f>
        <v>5559.8400000000011</v>
      </c>
      <c r="F68" s="286">
        <f t="shared" ref="F68:F83" si="10">F11*$F$63</f>
        <v>5987.5200000000013</v>
      </c>
      <c r="G68" s="286">
        <f t="shared" ref="G68:G83" si="11">G11*$G$63</f>
        <v>6415.2000000000025</v>
      </c>
      <c r="H68" s="286">
        <f t="shared" ref="H68:H83" si="12">H11*$H$63</f>
        <v>6842.8800000000028</v>
      </c>
    </row>
    <row r="69" spans="1:8">
      <c r="A69" s="95" t="str">
        <f t="shared" si="5"/>
        <v>Red Gram/Tur</v>
      </c>
      <c r="B69" s="286">
        <f t="shared" si="6"/>
        <v>0</v>
      </c>
      <c r="C69" s="286">
        <f t="shared" si="7"/>
        <v>0</v>
      </c>
      <c r="D69" s="286">
        <f t="shared" si="8"/>
        <v>0</v>
      </c>
      <c r="E69" s="286">
        <f t="shared" si="9"/>
        <v>0</v>
      </c>
      <c r="F69" s="286">
        <f t="shared" si="10"/>
        <v>0</v>
      </c>
      <c r="G69" s="286">
        <f t="shared" si="11"/>
        <v>0</v>
      </c>
      <c r="H69" s="286">
        <f t="shared" si="12"/>
        <v>0</v>
      </c>
    </row>
    <row r="70" spans="1:8">
      <c r="A70" s="95" t="str">
        <f t="shared" si="5"/>
        <v>Paddy/Rice</v>
      </c>
      <c r="B70" s="286">
        <f t="shared" si="6"/>
        <v>0</v>
      </c>
      <c r="C70" s="286">
        <f t="shared" si="7"/>
        <v>0</v>
      </c>
      <c r="D70" s="286">
        <f t="shared" si="8"/>
        <v>0</v>
      </c>
      <c r="E70" s="286">
        <f t="shared" si="9"/>
        <v>0</v>
      </c>
      <c r="F70" s="286">
        <f t="shared" si="10"/>
        <v>0</v>
      </c>
      <c r="G70" s="286">
        <f t="shared" si="11"/>
        <v>0</v>
      </c>
      <c r="H70" s="286">
        <f t="shared" si="12"/>
        <v>0</v>
      </c>
    </row>
    <row r="71" spans="1:8">
      <c r="A71" s="95" t="str">
        <f t="shared" si="5"/>
        <v>Green Gram/ Moong</v>
      </c>
      <c r="B71" s="286">
        <f t="shared" si="6"/>
        <v>0</v>
      </c>
      <c r="C71" s="286">
        <f t="shared" si="7"/>
        <v>0</v>
      </c>
      <c r="D71" s="286">
        <f t="shared" si="8"/>
        <v>0</v>
      </c>
      <c r="E71" s="286">
        <f t="shared" si="9"/>
        <v>0</v>
      </c>
      <c r="F71" s="286">
        <f t="shared" si="10"/>
        <v>0</v>
      </c>
      <c r="G71" s="286">
        <f t="shared" si="11"/>
        <v>0</v>
      </c>
      <c r="H71" s="286">
        <f t="shared" si="12"/>
        <v>0</v>
      </c>
    </row>
    <row r="72" spans="1:8">
      <c r="A72" s="95" t="str">
        <f t="shared" si="5"/>
        <v>Maize</v>
      </c>
      <c r="B72" s="286">
        <f t="shared" si="6"/>
        <v>0</v>
      </c>
      <c r="C72" s="286">
        <f t="shared" si="7"/>
        <v>0</v>
      </c>
      <c r="D72" s="286">
        <f t="shared" si="8"/>
        <v>0</v>
      </c>
      <c r="E72" s="286">
        <f t="shared" si="9"/>
        <v>0</v>
      </c>
      <c r="F72" s="286">
        <f t="shared" si="10"/>
        <v>0</v>
      </c>
      <c r="G72" s="286">
        <f t="shared" si="11"/>
        <v>0</v>
      </c>
      <c r="H72" s="286">
        <f t="shared" si="12"/>
        <v>0</v>
      </c>
    </row>
    <row r="73" spans="1:8">
      <c r="A73" s="95" t="str">
        <f t="shared" si="5"/>
        <v>Black Gram/Udid</v>
      </c>
      <c r="B73" s="286">
        <f t="shared" si="6"/>
        <v>0</v>
      </c>
      <c r="C73" s="286">
        <f t="shared" si="7"/>
        <v>0</v>
      </c>
      <c r="D73" s="286">
        <f t="shared" si="8"/>
        <v>0</v>
      </c>
      <c r="E73" s="286">
        <f t="shared" si="9"/>
        <v>0</v>
      </c>
      <c r="F73" s="286">
        <f t="shared" si="10"/>
        <v>0</v>
      </c>
      <c r="G73" s="286">
        <f t="shared" si="11"/>
        <v>0</v>
      </c>
      <c r="H73" s="286">
        <f t="shared" si="12"/>
        <v>0</v>
      </c>
    </row>
    <row r="74" spans="1:8">
      <c r="A74" s="95" t="str">
        <f t="shared" si="5"/>
        <v>Bajra</v>
      </c>
      <c r="B74" s="286">
        <f t="shared" si="6"/>
        <v>0</v>
      </c>
      <c r="C74" s="286">
        <f t="shared" si="7"/>
        <v>0</v>
      </c>
      <c r="D74" s="286">
        <f t="shared" si="8"/>
        <v>0</v>
      </c>
      <c r="E74" s="286">
        <f t="shared" si="9"/>
        <v>0</v>
      </c>
      <c r="F74" s="286">
        <f t="shared" si="10"/>
        <v>0</v>
      </c>
      <c r="G74" s="286">
        <f t="shared" si="11"/>
        <v>0</v>
      </c>
      <c r="H74" s="286">
        <f t="shared" si="12"/>
        <v>0</v>
      </c>
    </row>
    <row r="75" spans="1:8">
      <c r="A75" s="95" t="str">
        <f t="shared" si="5"/>
        <v>Jawar</v>
      </c>
      <c r="B75" s="286">
        <f t="shared" si="6"/>
        <v>0</v>
      </c>
      <c r="C75" s="286">
        <f t="shared" si="7"/>
        <v>0</v>
      </c>
      <c r="D75" s="286">
        <f t="shared" si="8"/>
        <v>0</v>
      </c>
      <c r="E75" s="286">
        <f t="shared" si="9"/>
        <v>0</v>
      </c>
      <c r="F75" s="286">
        <f t="shared" si="10"/>
        <v>0</v>
      </c>
      <c r="G75" s="286">
        <f t="shared" si="11"/>
        <v>0</v>
      </c>
      <c r="H75" s="286">
        <f t="shared" si="12"/>
        <v>0</v>
      </c>
    </row>
    <row r="76" spans="1:8">
      <c r="A76" s="95" t="str">
        <f t="shared" si="5"/>
        <v>Sunflower</v>
      </c>
      <c r="B76" s="286">
        <f t="shared" si="6"/>
        <v>0</v>
      </c>
      <c r="C76" s="286">
        <f t="shared" si="7"/>
        <v>0</v>
      </c>
      <c r="D76" s="286">
        <f t="shared" si="8"/>
        <v>0</v>
      </c>
      <c r="E76" s="286">
        <f t="shared" si="9"/>
        <v>0</v>
      </c>
      <c r="F76" s="286">
        <f t="shared" si="10"/>
        <v>0</v>
      </c>
      <c r="G76" s="286">
        <f t="shared" si="11"/>
        <v>0</v>
      </c>
      <c r="H76" s="286">
        <f t="shared" si="12"/>
        <v>0</v>
      </c>
    </row>
    <row r="77" spans="1:8">
      <c r="A77" s="95" t="str">
        <f t="shared" si="5"/>
        <v>Wheat</v>
      </c>
      <c r="B77" s="286">
        <f t="shared" si="6"/>
        <v>0</v>
      </c>
      <c r="C77" s="286">
        <f t="shared" si="7"/>
        <v>0</v>
      </c>
      <c r="D77" s="286">
        <f t="shared" si="8"/>
        <v>0</v>
      </c>
      <c r="E77" s="286">
        <f t="shared" si="9"/>
        <v>0</v>
      </c>
      <c r="F77" s="286">
        <f t="shared" si="10"/>
        <v>0</v>
      </c>
      <c r="G77" s="286">
        <f t="shared" si="11"/>
        <v>0</v>
      </c>
      <c r="H77" s="286">
        <f t="shared" si="12"/>
        <v>0</v>
      </c>
    </row>
    <row r="78" spans="1:8">
      <c r="A78" s="95" t="str">
        <f t="shared" si="5"/>
        <v>Bengal Gram/Channa</v>
      </c>
      <c r="B78" s="286">
        <f t="shared" si="6"/>
        <v>633.6</v>
      </c>
      <c r="C78" s="286">
        <f t="shared" si="7"/>
        <v>696.96</v>
      </c>
      <c r="D78" s="286">
        <f t="shared" si="8"/>
        <v>760.32000000000016</v>
      </c>
      <c r="E78" s="286">
        <f t="shared" si="9"/>
        <v>823.68000000000018</v>
      </c>
      <c r="F78" s="286">
        <f t="shared" si="10"/>
        <v>887.0400000000003</v>
      </c>
      <c r="G78" s="286">
        <f t="shared" si="11"/>
        <v>950.40000000000032</v>
      </c>
      <c r="H78" s="286">
        <f t="shared" si="12"/>
        <v>1013.7600000000003</v>
      </c>
    </row>
    <row r="79" spans="1:8">
      <c r="A79" s="95" t="str">
        <f t="shared" si="5"/>
        <v>Jawar</v>
      </c>
      <c r="B79" s="286">
        <f t="shared" si="6"/>
        <v>0</v>
      </c>
      <c r="C79" s="286">
        <f t="shared" si="7"/>
        <v>0</v>
      </c>
      <c r="D79" s="286">
        <f t="shared" si="8"/>
        <v>0</v>
      </c>
      <c r="E79" s="286">
        <f t="shared" si="9"/>
        <v>0</v>
      </c>
      <c r="F79" s="286">
        <f t="shared" si="10"/>
        <v>0</v>
      </c>
      <c r="G79" s="286">
        <f t="shared" si="11"/>
        <v>0</v>
      </c>
      <c r="H79" s="286">
        <f t="shared" si="12"/>
        <v>0</v>
      </c>
    </row>
    <row r="80" spans="1:8">
      <c r="A80" s="95" t="str">
        <f t="shared" si="5"/>
        <v>Maize</v>
      </c>
      <c r="B80" s="286">
        <f t="shared" si="6"/>
        <v>0</v>
      </c>
      <c r="C80" s="286">
        <f t="shared" si="7"/>
        <v>0</v>
      </c>
      <c r="D80" s="286">
        <f t="shared" si="8"/>
        <v>0</v>
      </c>
      <c r="E80" s="286">
        <f t="shared" si="9"/>
        <v>0</v>
      </c>
      <c r="F80" s="286">
        <f t="shared" si="10"/>
        <v>0</v>
      </c>
      <c r="G80" s="286">
        <f t="shared" si="11"/>
        <v>0</v>
      </c>
      <c r="H80" s="286">
        <f t="shared" si="12"/>
        <v>0</v>
      </c>
    </row>
    <row r="81" spans="1:12">
      <c r="A81" s="95" t="str">
        <f t="shared" si="5"/>
        <v>Safflower</v>
      </c>
      <c r="B81" s="286">
        <f t="shared" si="6"/>
        <v>0</v>
      </c>
      <c r="C81" s="286">
        <f t="shared" si="7"/>
        <v>0</v>
      </c>
      <c r="D81" s="286">
        <f t="shared" si="8"/>
        <v>0</v>
      </c>
      <c r="E81" s="286">
        <f t="shared" si="9"/>
        <v>0</v>
      </c>
      <c r="F81" s="286">
        <f t="shared" si="10"/>
        <v>0</v>
      </c>
      <c r="G81" s="286">
        <f t="shared" si="11"/>
        <v>0</v>
      </c>
      <c r="H81" s="286">
        <f t="shared" si="12"/>
        <v>0</v>
      </c>
    </row>
    <row r="82" spans="1:12">
      <c r="A82" s="95">
        <f t="shared" si="5"/>
        <v>0</v>
      </c>
      <c r="B82" s="286">
        <f t="shared" si="6"/>
        <v>0</v>
      </c>
      <c r="C82" s="286">
        <f t="shared" si="7"/>
        <v>0</v>
      </c>
      <c r="D82" s="286">
        <f t="shared" si="8"/>
        <v>0</v>
      </c>
      <c r="E82" s="286">
        <f t="shared" si="9"/>
        <v>0</v>
      </c>
      <c r="F82" s="286">
        <f t="shared" si="10"/>
        <v>0</v>
      </c>
      <c r="G82" s="286">
        <f t="shared" si="11"/>
        <v>0</v>
      </c>
      <c r="H82" s="286">
        <f t="shared" si="12"/>
        <v>0</v>
      </c>
    </row>
    <row r="83" spans="1:12">
      <c r="A83" s="95">
        <f t="shared" si="5"/>
        <v>0</v>
      </c>
      <c r="B83" s="286">
        <f t="shared" si="6"/>
        <v>0</v>
      </c>
      <c r="C83" s="286">
        <f t="shared" si="7"/>
        <v>0</v>
      </c>
      <c r="D83" s="286">
        <f t="shared" si="8"/>
        <v>0</v>
      </c>
      <c r="E83" s="286">
        <f t="shared" si="9"/>
        <v>0</v>
      </c>
      <c r="F83" s="286">
        <f t="shared" si="10"/>
        <v>0</v>
      </c>
      <c r="G83" s="286">
        <f t="shared" si="11"/>
        <v>0</v>
      </c>
      <c r="H83" s="286">
        <f t="shared" si="12"/>
        <v>0</v>
      </c>
    </row>
    <row r="84" spans="1:12">
      <c r="A84" s="95">
        <f t="shared" si="5"/>
        <v>0</v>
      </c>
      <c r="B84" s="286">
        <f t="shared" si="6"/>
        <v>0</v>
      </c>
      <c r="C84" s="286">
        <f t="shared" ref="C84:H89" si="13">C27*$B$63</f>
        <v>0</v>
      </c>
      <c r="D84" s="286">
        <f t="shared" si="13"/>
        <v>0</v>
      </c>
      <c r="E84" s="286">
        <f t="shared" si="13"/>
        <v>0</v>
      </c>
      <c r="F84" s="286">
        <f t="shared" si="13"/>
        <v>0</v>
      </c>
      <c r="G84" s="286">
        <f t="shared" si="13"/>
        <v>0</v>
      </c>
      <c r="H84" s="286">
        <f t="shared" si="13"/>
        <v>0</v>
      </c>
    </row>
    <row r="85" spans="1:12">
      <c r="A85" s="95" t="str">
        <f t="shared" si="5"/>
        <v>Groundnut</v>
      </c>
      <c r="B85" s="286">
        <f t="shared" si="6"/>
        <v>0</v>
      </c>
      <c r="C85" s="286">
        <f t="shared" si="13"/>
        <v>0</v>
      </c>
      <c r="D85" s="286">
        <f t="shared" si="13"/>
        <v>0</v>
      </c>
      <c r="E85" s="286">
        <f t="shared" si="13"/>
        <v>0</v>
      </c>
      <c r="F85" s="286">
        <f t="shared" si="13"/>
        <v>0</v>
      </c>
      <c r="G85" s="286">
        <f t="shared" si="13"/>
        <v>0</v>
      </c>
      <c r="H85" s="286">
        <f t="shared" si="13"/>
        <v>0</v>
      </c>
    </row>
    <row r="86" spans="1:12">
      <c r="A86" s="95">
        <f t="shared" si="5"/>
        <v>0</v>
      </c>
      <c r="B86" s="286">
        <f t="shared" si="6"/>
        <v>0</v>
      </c>
      <c r="C86" s="286">
        <f t="shared" si="13"/>
        <v>0</v>
      </c>
      <c r="D86" s="286">
        <f t="shared" si="13"/>
        <v>0</v>
      </c>
      <c r="E86" s="286">
        <f t="shared" si="13"/>
        <v>0</v>
      </c>
      <c r="F86" s="286">
        <f t="shared" si="13"/>
        <v>0</v>
      </c>
      <c r="G86" s="286">
        <f t="shared" si="13"/>
        <v>0</v>
      </c>
      <c r="H86" s="286">
        <f t="shared" si="13"/>
        <v>0</v>
      </c>
    </row>
    <row r="87" spans="1:12">
      <c r="A87" s="95">
        <f t="shared" si="5"/>
        <v>0</v>
      </c>
      <c r="B87" s="286">
        <f t="shared" si="6"/>
        <v>0</v>
      </c>
      <c r="C87" s="286">
        <f t="shared" si="13"/>
        <v>0</v>
      </c>
      <c r="D87" s="286">
        <f t="shared" si="13"/>
        <v>0</v>
      </c>
      <c r="E87" s="286">
        <f t="shared" si="13"/>
        <v>0</v>
      </c>
      <c r="F87" s="286">
        <f t="shared" si="13"/>
        <v>0</v>
      </c>
      <c r="G87" s="286">
        <f t="shared" si="13"/>
        <v>0</v>
      </c>
      <c r="H87" s="286">
        <f t="shared" si="13"/>
        <v>0</v>
      </c>
    </row>
    <row r="88" spans="1:12">
      <c r="A88" s="95">
        <f t="shared" si="5"/>
        <v>0</v>
      </c>
      <c r="B88" s="286">
        <f t="shared" si="6"/>
        <v>0</v>
      </c>
      <c r="C88" s="286">
        <f t="shared" si="13"/>
        <v>0</v>
      </c>
      <c r="D88" s="286">
        <f t="shared" si="13"/>
        <v>0</v>
      </c>
      <c r="E88" s="286">
        <f t="shared" si="13"/>
        <v>0</v>
      </c>
      <c r="F88" s="286">
        <f t="shared" si="13"/>
        <v>0</v>
      </c>
      <c r="G88" s="286">
        <f t="shared" si="13"/>
        <v>0</v>
      </c>
      <c r="H88" s="286">
        <f t="shared" si="13"/>
        <v>0</v>
      </c>
    </row>
    <row r="89" spans="1:12">
      <c r="A89" s="95">
        <f t="shared" si="5"/>
        <v>0</v>
      </c>
      <c r="B89" s="286">
        <f t="shared" si="6"/>
        <v>0</v>
      </c>
      <c r="C89" s="286">
        <f t="shared" si="13"/>
        <v>0</v>
      </c>
      <c r="D89" s="286">
        <f t="shared" si="13"/>
        <v>0</v>
      </c>
      <c r="E89" s="286">
        <f t="shared" si="13"/>
        <v>0</v>
      </c>
      <c r="F89" s="286">
        <f t="shared" si="13"/>
        <v>0</v>
      </c>
      <c r="G89" s="286">
        <f t="shared" si="13"/>
        <v>0</v>
      </c>
      <c r="H89" s="286">
        <f t="shared" si="13"/>
        <v>0</v>
      </c>
    </row>
    <row r="90" spans="1:12">
      <c r="A90" s="95"/>
      <c r="B90" s="286"/>
      <c r="C90" s="286"/>
      <c r="D90" s="286"/>
      <c r="E90" s="286"/>
      <c r="F90" s="286"/>
      <c r="G90" s="286"/>
      <c r="H90" s="286"/>
      <c r="J90" s="308"/>
      <c r="K90" s="308"/>
      <c r="L90" s="308"/>
    </row>
    <row r="91" spans="1:12">
      <c r="A91" s="95" t="str">
        <f t="shared" ref="A91:A109" si="14">A34</f>
        <v>Fruit  &amp; Vegetables Crop Production Details</v>
      </c>
      <c r="B91" s="286"/>
      <c r="C91" s="286"/>
      <c r="D91" s="286"/>
      <c r="E91" s="286"/>
      <c r="F91" s="286"/>
      <c r="G91" s="286"/>
      <c r="H91" s="286"/>
      <c r="J91" s="308"/>
      <c r="K91" s="308"/>
      <c r="L91" s="308"/>
    </row>
    <row r="92" spans="1:12">
      <c r="A92" s="95" t="str">
        <f t="shared" si="14"/>
        <v>Onion</v>
      </c>
      <c r="B92" s="286">
        <f t="shared" ref="B92:H101" si="15">B35</f>
        <v>0</v>
      </c>
      <c r="C92" s="286">
        <f t="shared" si="15"/>
        <v>0</v>
      </c>
      <c r="D92" s="286">
        <f t="shared" si="15"/>
        <v>0</v>
      </c>
      <c r="E92" s="286">
        <f t="shared" si="15"/>
        <v>0</v>
      </c>
      <c r="F92" s="286">
        <f t="shared" si="15"/>
        <v>0</v>
      </c>
      <c r="G92" s="286">
        <f t="shared" si="15"/>
        <v>0</v>
      </c>
      <c r="H92" s="286">
        <f t="shared" si="15"/>
        <v>0</v>
      </c>
      <c r="J92" s="308"/>
      <c r="K92" s="308"/>
      <c r="L92" s="308"/>
    </row>
    <row r="93" spans="1:12">
      <c r="A93" s="95" t="str">
        <f t="shared" si="14"/>
        <v>Tomato</v>
      </c>
      <c r="B93" s="286">
        <f t="shared" si="15"/>
        <v>0</v>
      </c>
      <c r="C93" s="286">
        <f t="shared" si="15"/>
        <v>0</v>
      </c>
      <c r="D93" s="286">
        <f t="shared" si="15"/>
        <v>0</v>
      </c>
      <c r="E93" s="286">
        <f t="shared" si="15"/>
        <v>0</v>
      </c>
      <c r="F93" s="286">
        <f t="shared" si="15"/>
        <v>0</v>
      </c>
      <c r="G93" s="286">
        <f t="shared" si="15"/>
        <v>0</v>
      </c>
      <c r="H93" s="286">
        <f t="shared" si="15"/>
        <v>0</v>
      </c>
      <c r="J93" s="308"/>
      <c r="K93" s="308"/>
      <c r="L93" s="308"/>
    </row>
    <row r="94" spans="1:12">
      <c r="A94" s="95" t="str">
        <f t="shared" si="14"/>
        <v>Okra</v>
      </c>
      <c r="B94" s="286">
        <f t="shared" si="15"/>
        <v>0</v>
      </c>
      <c r="C94" s="286">
        <f t="shared" si="15"/>
        <v>0</v>
      </c>
      <c r="D94" s="286">
        <f t="shared" si="15"/>
        <v>0</v>
      </c>
      <c r="E94" s="286">
        <f t="shared" si="15"/>
        <v>0</v>
      </c>
      <c r="F94" s="286">
        <f t="shared" si="15"/>
        <v>0</v>
      </c>
      <c r="G94" s="286">
        <f t="shared" si="15"/>
        <v>0</v>
      </c>
      <c r="H94" s="286">
        <f t="shared" si="15"/>
        <v>0</v>
      </c>
      <c r="J94" s="308"/>
      <c r="K94" s="308"/>
      <c r="L94" s="308"/>
    </row>
    <row r="95" spans="1:12">
      <c r="A95" s="95" t="str">
        <f t="shared" si="14"/>
        <v>Chilli</v>
      </c>
      <c r="B95" s="286">
        <f t="shared" si="15"/>
        <v>0</v>
      </c>
      <c r="C95" s="286">
        <f t="shared" si="15"/>
        <v>0</v>
      </c>
      <c r="D95" s="286">
        <f t="shared" si="15"/>
        <v>0</v>
      </c>
      <c r="E95" s="286">
        <f t="shared" si="15"/>
        <v>0</v>
      </c>
      <c r="F95" s="286">
        <f t="shared" si="15"/>
        <v>0</v>
      </c>
      <c r="G95" s="286">
        <f t="shared" si="15"/>
        <v>0</v>
      </c>
      <c r="H95" s="286">
        <f t="shared" si="15"/>
        <v>0</v>
      </c>
      <c r="J95" s="308"/>
      <c r="K95" s="308"/>
      <c r="L95" s="308"/>
    </row>
    <row r="96" spans="1:12">
      <c r="A96" s="95" t="str">
        <f t="shared" si="14"/>
        <v>Potato</v>
      </c>
      <c r="B96" s="286">
        <f t="shared" si="15"/>
        <v>0</v>
      </c>
      <c r="C96" s="286">
        <f t="shared" si="15"/>
        <v>0</v>
      </c>
      <c r="D96" s="286">
        <f t="shared" si="15"/>
        <v>0</v>
      </c>
      <c r="E96" s="286">
        <f t="shared" si="15"/>
        <v>0</v>
      </c>
      <c r="F96" s="286">
        <f t="shared" si="15"/>
        <v>0</v>
      </c>
      <c r="G96" s="286">
        <f t="shared" si="15"/>
        <v>0</v>
      </c>
      <c r="H96" s="286">
        <f t="shared" si="15"/>
        <v>0</v>
      </c>
      <c r="J96" s="308"/>
      <c r="K96" s="308"/>
      <c r="L96" s="308"/>
    </row>
    <row r="97" spans="1:12">
      <c r="A97" s="95">
        <f t="shared" si="14"/>
        <v>0</v>
      </c>
      <c r="B97" s="286">
        <f t="shared" si="15"/>
        <v>0</v>
      </c>
      <c r="C97" s="286">
        <f t="shared" si="15"/>
        <v>0</v>
      </c>
      <c r="D97" s="286">
        <f t="shared" si="15"/>
        <v>0</v>
      </c>
      <c r="E97" s="286">
        <f t="shared" si="15"/>
        <v>0</v>
      </c>
      <c r="F97" s="286">
        <f t="shared" si="15"/>
        <v>0</v>
      </c>
      <c r="G97" s="286">
        <f t="shared" si="15"/>
        <v>0</v>
      </c>
      <c r="H97" s="286">
        <f t="shared" si="15"/>
        <v>0</v>
      </c>
      <c r="J97" s="308"/>
      <c r="K97" s="308"/>
      <c r="L97" s="308"/>
    </row>
    <row r="98" spans="1:12">
      <c r="A98" s="95">
        <f t="shared" si="14"/>
        <v>0</v>
      </c>
      <c r="B98" s="286">
        <f t="shared" si="15"/>
        <v>0</v>
      </c>
      <c r="C98" s="286">
        <f t="shared" si="15"/>
        <v>0</v>
      </c>
      <c r="D98" s="286">
        <f t="shared" si="15"/>
        <v>0</v>
      </c>
      <c r="E98" s="286">
        <f t="shared" si="15"/>
        <v>0</v>
      </c>
      <c r="F98" s="286">
        <f t="shared" si="15"/>
        <v>0</v>
      </c>
      <c r="G98" s="286">
        <f t="shared" si="15"/>
        <v>0</v>
      </c>
      <c r="H98" s="286">
        <f t="shared" si="15"/>
        <v>0</v>
      </c>
      <c r="J98" s="308"/>
      <c r="K98" s="308"/>
      <c r="L98" s="308"/>
    </row>
    <row r="99" spans="1:12">
      <c r="A99" s="95">
        <f t="shared" si="14"/>
        <v>0</v>
      </c>
      <c r="B99" s="286">
        <f t="shared" si="15"/>
        <v>0</v>
      </c>
      <c r="C99" s="286">
        <f t="shared" si="15"/>
        <v>0</v>
      </c>
      <c r="D99" s="286">
        <f t="shared" si="15"/>
        <v>0</v>
      </c>
      <c r="E99" s="286">
        <f t="shared" si="15"/>
        <v>0</v>
      </c>
      <c r="F99" s="286">
        <f t="shared" si="15"/>
        <v>0</v>
      </c>
      <c r="G99" s="286">
        <f t="shared" si="15"/>
        <v>0</v>
      </c>
      <c r="H99" s="286">
        <f t="shared" si="15"/>
        <v>0</v>
      </c>
      <c r="J99" s="308"/>
      <c r="K99" s="308"/>
      <c r="L99" s="308"/>
    </row>
    <row r="100" spans="1:12">
      <c r="A100" s="95">
        <f t="shared" si="14"/>
        <v>0</v>
      </c>
      <c r="B100" s="286">
        <f t="shared" si="15"/>
        <v>0</v>
      </c>
      <c r="C100" s="286">
        <f t="shared" si="15"/>
        <v>0</v>
      </c>
      <c r="D100" s="286">
        <f t="shared" si="15"/>
        <v>0</v>
      </c>
      <c r="E100" s="286">
        <f t="shared" si="15"/>
        <v>0</v>
      </c>
      <c r="F100" s="286">
        <f t="shared" si="15"/>
        <v>0</v>
      </c>
      <c r="G100" s="286">
        <f t="shared" si="15"/>
        <v>0</v>
      </c>
      <c r="H100" s="286">
        <f t="shared" si="15"/>
        <v>0</v>
      </c>
      <c r="J100" s="308"/>
      <c r="K100" s="308"/>
      <c r="L100" s="308"/>
    </row>
    <row r="101" spans="1:12">
      <c r="A101" s="95" t="str">
        <f t="shared" si="14"/>
        <v>Onion</v>
      </c>
      <c r="B101" s="286">
        <f t="shared" si="15"/>
        <v>0</v>
      </c>
      <c r="C101" s="286">
        <f t="shared" si="15"/>
        <v>0</v>
      </c>
      <c r="D101" s="286">
        <f t="shared" si="15"/>
        <v>0</v>
      </c>
      <c r="E101" s="286">
        <f t="shared" si="15"/>
        <v>0</v>
      </c>
      <c r="F101" s="286">
        <f t="shared" si="15"/>
        <v>0</v>
      </c>
      <c r="G101" s="286">
        <f t="shared" si="15"/>
        <v>0</v>
      </c>
      <c r="H101" s="286">
        <f t="shared" si="15"/>
        <v>0</v>
      </c>
      <c r="J101" s="308"/>
      <c r="K101" s="308"/>
      <c r="L101" s="308"/>
    </row>
    <row r="102" spans="1:12">
      <c r="A102" s="95" t="str">
        <f t="shared" si="14"/>
        <v>Tomato</v>
      </c>
      <c r="B102" s="286">
        <f t="shared" ref="B102:H109" si="16">B45</f>
        <v>0</v>
      </c>
      <c r="C102" s="286">
        <f t="shared" si="16"/>
        <v>0</v>
      </c>
      <c r="D102" s="286">
        <f t="shared" si="16"/>
        <v>0</v>
      </c>
      <c r="E102" s="286">
        <f t="shared" si="16"/>
        <v>0</v>
      </c>
      <c r="F102" s="286">
        <f t="shared" si="16"/>
        <v>0</v>
      </c>
      <c r="G102" s="286">
        <f t="shared" si="16"/>
        <v>0</v>
      </c>
      <c r="H102" s="286">
        <f t="shared" si="16"/>
        <v>0</v>
      </c>
      <c r="J102" s="308"/>
      <c r="K102" s="308"/>
      <c r="L102" s="308"/>
    </row>
    <row r="103" spans="1:12">
      <c r="A103" s="95" t="str">
        <f t="shared" si="14"/>
        <v>Okra</v>
      </c>
      <c r="B103" s="286">
        <f t="shared" si="16"/>
        <v>0</v>
      </c>
      <c r="C103" s="286">
        <f t="shared" si="16"/>
        <v>0</v>
      </c>
      <c r="D103" s="286">
        <f t="shared" si="16"/>
        <v>0</v>
      </c>
      <c r="E103" s="286">
        <f t="shared" si="16"/>
        <v>0</v>
      </c>
      <c r="F103" s="286">
        <f t="shared" si="16"/>
        <v>0</v>
      </c>
      <c r="G103" s="286">
        <f t="shared" si="16"/>
        <v>0</v>
      </c>
      <c r="H103" s="286">
        <f t="shared" si="16"/>
        <v>0</v>
      </c>
      <c r="J103" s="308"/>
      <c r="K103" s="308"/>
      <c r="L103" s="308"/>
    </row>
    <row r="104" spans="1:12">
      <c r="A104" s="95" t="str">
        <f t="shared" si="14"/>
        <v>Chilli</v>
      </c>
      <c r="B104" s="286">
        <f t="shared" si="16"/>
        <v>0</v>
      </c>
      <c r="C104" s="286">
        <f t="shared" si="16"/>
        <v>0</v>
      </c>
      <c r="D104" s="286">
        <f t="shared" si="16"/>
        <v>0</v>
      </c>
      <c r="E104" s="286">
        <f t="shared" si="16"/>
        <v>0</v>
      </c>
      <c r="F104" s="286">
        <f t="shared" si="16"/>
        <v>0</v>
      </c>
      <c r="G104" s="286">
        <f t="shared" si="16"/>
        <v>0</v>
      </c>
      <c r="H104" s="286">
        <f t="shared" si="16"/>
        <v>0</v>
      </c>
      <c r="J104" s="308"/>
      <c r="K104" s="308"/>
      <c r="L104" s="308"/>
    </row>
    <row r="105" spans="1:12">
      <c r="A105" s="95" t="str">
        <f t="shared" si="14"/>
        <v>Brinjal</v>
      </c>
      <c r="B105" s="286">
        <f t="shared" si="16"/>
        <v>0</v>
      </c>
      <c r="C105" s="286">
        <f t="shared" si="16"/>
        <v>0</v>
      </c>
      <c r="D105" s="286">
        <f t="shared" si="16"/>
        <v>0</v>
      </c>
      <c r="E105" s="286">
        <f t="shared" si="16"/>
        <v>0</v>
      </c>
      <c r="F105" s="286">
        <f t="shared" si="16"/>
        <v>0</v>
      </c>
      <c r="G105" s="286">
        <f t="shared" si="16"/>
        <v>0</v>
      </c>
      <c r="H105" s="286">
        <f t="shared" si="16"/>
        <v>0</v>
      </c>
      <c r="J105" s="308"/>
      <c r="K105" s="308"/>
      <c r="L105" s="308"/>
    </row>
    <row r="106" spans="1:12">
      <c r="A106" s="95">
        <f t="shared" si="14"/>
        <v>0</v>
      </c>
      <c r="B106" s="286">
        <f t="shared" si="16"/>
        <v>0</v>
      </c>
      <c r="C106" s="286">
        <f t="shared" si="16"/>
        <v>0</v>
      </c>
      <c r="D106" s="286">
        <f t="shared" si="16"/>
        <v>0</v>
      </c>
      <c r="E106" s="286">
        <f t="shared" si="16"/>
        <v>0</v>
      </c>
      <c r="F106" s="286">
        <f t="shared" si="16"/>
        <v>0</v>
      </c>
      <c r="G106" s="286">
        <f t="shared" si="16"/>
        <v>0</v>
      </c>
      <c r="H106" s="286">
        <f t="shared" si="16"/>
        <v>0</v>
      </c>
      <c r="J106" s="308"/>
      <c r="K106" s="308"/>
      <c r="L106" s="308"/>
    </row>
    <row r="107" spans="1:12">
      <c r="A107" s="95">
        <f t="shared" si="14"/>
        <v>0</v>
      </c>
      <c r="B107" s="286">
        <f t="shared" si="16"/>
        <v>0</v>
      </c>
      <c r="C107" s="286">
        <f t="shared" si="16"/>
        <v>0</v>
      </c>
      <c r="D107" s="286">
        <f t="shared" si="16"/>
        <v>0</v>
      </c>
      <c r="E107" s="286">
        <f t="shared" si="16"/>
        <v>0</v>
      </c>
      <c r="F107" s="286">
        <f t="shared" si="16"/>
        <v>0</v>
      </c>
      <c r="G107" s="286">
        <f t="shared" si="16"/>
        <v>0</v>
      </c>
      <c r="H107" s="286">
        <f t="shared" si="16"/>
        <v>0</v>
      </c>
      <c r="J107" s="308"/>
      <c r="K107" s="308"/>
      <c r="L107" s="308"/>
    </row>
    <row r="108" spans="1:12">
      <c r="A108" s="95">
        <f t="shared" si="14"/>
        <v>0</v>
      </c>
      <c r="B108" s="286">
        <f t="shared" si="16"/>
        <v>0</v>
      </c>
      <c r="C108" s="286">
        <f t="shared" si="16"/>
        <v>0</v>
      </c>
      <c r="D108" s="286">
        <f t="shared" si="16"/>
        <v>0</v>
      </c>
      <c r="E108" s="286">
        <f t="shared" si="16"/>
        <v>0</v>
      </c>
      <c r="F108" s="286">
        <f t="shared" si="16"/>
        <v>0</v>
      </c>
      <c r="G108" s="286">
        <f t="shared" si="16"/>
        <v>0</v>
      </c>
      <c r="H108" s="286">
        <f t="shared" si="16"/>
        <v>0</v>
      </c>
      <c r="J108" s="308"/>
      <c r="K108" s="308"/>
      <c r="L108" s="308"/>
    </row>
    <row r="109" spans="1:12">
      <c r="A109" s="95">
        <f t="shared" si="14"/>
        <v>0</v>
      </c>
      <c r="B109" s="286">
        <f t="shared" si="16"/>
        <v>0</v>
      </c>
      <c r="C109" s="286">
        <f t="shared" si="16"/>
        <v>0</v>
      </c>
      <c r="D109" s="286">
        <f t="shared" si="16"/>
        <v>0</v>
      </c>
      <c r="E109" s="286">
        <f t="shared" si="16"/>
        <v>0</v>
      </c>
      <c r="F109" s="286">
        <f t="shared" si="16"/>
        <v>0</v>
      </c>
      <c r="G109" s="286">
        <f t="shared" si="16"/>
        <v>0</v>
      </c>
      <c r="H109" s="286">
        <f t="shared" si="16"/>
        <v>0</v>
      </c>
      <c r="J109" s="308"/>
      <c r="K109" s="308"/>
      <c r="L109" s="308"/>
    </row>
    <row r="110" spans="1:12">
      <c r="A110" s="95">
        <f t="shared" ref="A110:A113" si="17">A53</f>
        <v>0</v>
      </c>
      <c r="B110" s="286"/>
      <c r="C110" s="286"/>
      <c r="D110" s="286"/>
      <c r="E110" s="286"/>
      <c r="F110" s="286"/>
      <c r="G110" s="286"/>
      <c r="H110" s="286"/>
      <c r="J110" s="308"/>
      <c r="K110" s="308"/>
      <c r="L110" s="308"/>
    </row>
    <row r="111" spans="1:12">
      <c r="A111" s="95">
        <f t="shared" si="17"/>
        <v>0</v>
      </c>
      <c r="B111" s="286"/>
      <c r="C111" s="286"/>
      <c r="D111" s="286"/>
      <c r="E111" s="286"/>
      <c r="F111" s="286"/>
      <c r="G111" s="286"/>
      <c r="H111" s="286"/>
      <c r="J111" s="308"/>
      <c r="K111" s="308"/>
      <c r="L111" s="308"/>
    </row>
    <row r="112" spans="1:12">
      <c r="A112" s="95">
        <f t="shared" si="17"/>
        <v>0</v>
      </c>
      <c r="B112" s="286"/>
      <c r="C112" s="286"/>
      <c r="D112" s="286"/>
      <c r="E112" s="286"/>
      <c r="F112" s="286"/>
      <c r="G112" s="286"/>
      <c r="H112" s="286"/>
      <c r="J112" s="308"/>
      <c r="K112" s="308"/>
      <c r="L112" s="308"/>
    </row>
    <row r="113" spans="1:12">
      <c r="A113" s="95" t="str">
        <f t="shared" si="17"/>
        <v>Pomegranate</v>
      </c>
      <c r="B113" s="286">
        <f t="shared" ref="B113:H116" si="18">B56</f>
        <v>0</v>
      </c>
      <c r="C113" s="286">
        <f t="shared" si="18"/>
        <v>0</v>
      </c>
      <c r="D113" s="286">
        <f t="shared" si="18"/>
        <v>0</v>
      </c>
      <c r="E113" s="286">
        <f t="shared" si="18"/>
        <v>0</v>
      </c>
      <c r="F113" s="286">
        <f t="shared" si="18"/>
        <v>0</v>
      </c>
      <c r="G113" s="286">
        <f t="shared" si="18"/>
        <v>0</v>
      </c>
      <c r="H113" s="286">
        <f t="shared" si="18"/>
        <v>0</v>
      </c>
      <c r="J113" s="308"/>
      <c r="K113" s="308"/>
      <c r="L113" s="308"/>
    </row>
    <row r="114" spans="1:12">
      <c r="A114" s="95" t="str">
        <f>A57</f>
        <v>Custard Apple</v>
      </c>
      <c r="B114" s="286">
        <f t="shared" si="18"/>
        <v>0</v>
      </c>
      <c r="C114" s="286">
        <f t="shared" si="18"/>
        <v>0</v>
      </c>
      <c r="D114" s="286">
        <f t="shared" si="18"/>
        <v>0</v>
      </c>
      <c r="E114" s="286">
        <f t="shared" si="18"/>
        <v>0</v>
      </c>
      <c r="F114" s="286">
        <f t="shared" si="18"/>
        <v>0</v>
      </c>
      <c r="G114" s="286">
        <f t="shared" si="18"/>
        <v>0</v>
      </c>
      <c r="H114" s="286">
        <f t="shared" si="18"/>
        <v>0</v>
      </c>
      <c r="J114" s="308"/>
      <c r="K114" s="308"/>
      <c r="L114" s="308"/>
    </row>
    <row r="115" spans="1:12">
      <c r="A115" s="95" t="str">
        <f>A58</f>
        <v>Guava</v>
      </c>
      <c r="B115" s="286">
        <f t="shared" si="18"/>
        <v>0</v>
      </c>
      <c r="C115" s="286">
        <f t="shared" si="18"/>
        <v>0</v>
      </c>
      <c r="D115" s="286">
        <f t="shared" si="18"/>
        <v>0</v>
      </c>
      <c r="E115" s="286">
        <f t="shared" si="18"/>
        <v>0</v>
      </c>
      <c r="F115" s="286">
        <f t="shared" si="18"/>
        <v>0</v>
      </c>
      <c r="G115" s="286">
        <f t="shared" si="18"/>
        <v>0</v>
      </c>
      <c r="H115" s="286">
        <f t="shared" si="18"/>
        <v>0</v>
      </c>
      <c r="J115" s="308"/>
      <c r="K115" s="308"/>
      <c r="L115" s="308"/>
    </row>
    <row r="116" spans="1:12">
      <c r="A116" s="95" t="str">
        <f>A59</f>
        <v>Citrus</v>
      </c>
      <c r="B116" s="286">
        <f t="shared" si="18"/>
        <v>0</v>
      </c>
      <c r="C116" s="286">
        <f t="shared" si="18"/>
        <v>0</v>
      </c>
      <c r="D116" s="286">
        <f t="shared" si="18"/>
        <v>0</v>
      </c>
      <c r="E116" s="286">
        <f t="shared" si="18"/>
        <v>0</v>
      </c>
      <c r="F116" s="286">
        <f t="shared" si="18"/>
        <v>0</v>
      </c>
      <c r="G116" s="286">
        <f t="shared" si="18"/>
        <v>0</v>
      </c>
      <c r="H116" s="286">
        <f t="shared" si="18"/>
        <v>0</v>
      </c>
      <c r="J116" s="308"/>
      <c r="K116" s="308"/>
      <c r="L116" s="308"/>
    </row>
    <row r="117" spans="1:12">
      <c r="A117" s="95"/>
      <c r="B117" s="286"/>
      <c r="C117" s="286"/>
      <c r="D117" s="286"/>
      <c r="E117" s="286"/>
      <c r="F117" s="286"/>
      <c r="G117" s="286"/>
      <c r="H117" s="286"/>
      <c r="J117" s="308"/>
      <c r="K117" s="308"/>
      <c r="L117" s="308"/>
    </row>
    <row r="118" spans="1:12">
      <c r="A118" s="95"/>
      <c r="B118" s="286"/>
      <c r="C118" s="286"/>
      <c r="D118" s="286"/>
      <c r="E118" s="286"/>
      <c r="F118" s="286"/>
      <c r="G118" s="286"/>
      <c r="H118" s="286"/>
      <c r="J118" s="308"/>
      <c r="K118" s="308"/>
      <c r="L118" s="308"/>
    </row>
    <row r="119" spans="1:12">
      <c r="A119" s="101" t="s">
        <v>140</v>
      </c>
      <c r="B119" s="95"/>
      <c r="C119" s="95"/>
      <c r="D119" s="95"/>
      <c r="E119" s="95"/>
      <c r="F119" s="95"/>
      <c r="G119" s="95"/>
      <c r="H119" s="95"/>
    </row>
    <row r="120" spans="1:12">
      <c r="A120" s="99" t="str">
        <f t="shared" ref="A120:A141" si="19">A68</f>
        <v>Soybean</v>
      </c>
      <c r="B120" s="287">
        <f t="shared" ref="B120:H129" si="20">B68-(B68*$G$6)</f>
        <v>4148.4960000000001</v>
      </c>
      <c r="C120" s="287">
        <f t="shared" si="20"/>
        <v>4563.3456000000006</v>
      </c>
      <c r="D120" s="287">
        <f t="shared" si="20"/>
        <v>4978.195200000001</v>
      </c>
      <c r="E120" s="287">
        <f t="shared" si="20"/>
        <v>5393.0448000000015</v>
      </c>
      <c r="F120" s="287">
        <f t="shared" si="20"/>
        <v>5807.894400000001</v>
      </c>
      <c r="G120" s="287">
        <f t="shared" si="20"/>
        <v>6222.7440000000024</v>
      </c>
      <c r="H120" s="287">
        <f t="shared" si="20"/>
        <v>6637.5936000000029</v>
      </c>
    </row>
    <row r="121" spans="1:12">
      <c r="A121" s="99" t="str">
        <f t="shared" si="19"/>
        <v>Red Gram/Tur</v>
      </c>
      <c r="B121" s="287">
        <f t="shared" si="20"/>
        <v>0</v>
      </c>
      <c r="C121" s="287">
        <f t="shared" si="20"/>
        <v>0</v>
      </c>
      <c r="D121" s="287">
        <f t="shared" si="20"/>
        <v>0</v>
      </c>
      <c r="E121" s="287">
        <f t="shared" si="20"/>
        <v>0</v>
      </c>
      <c r="F121" s="287">
        <f t="shared" si="20"/>
        <v>0</v>
      </c>
      <c r="G121" s="287">
        <f t="shared" si="20"/>
        <v>0</v>
      </c>
      <c r="H121" s="287">
        <f t="shared" si="20"/>
        <v>0</v>
      </c>
    </row>
    <row r="122" spans="1:12">
      <c r="A122" s="99" t="str">
        <f t="shared" si="19"/>
        <v>Paddy/Rice</v>
      </c>
      <c r="B122" s="287">
        <f t="shared" si="20"/>
        <v>0</v>
      </c>
      <c r="C122" s="287">
        <f t="shared" si="20"/>
        <v>0</v>
      </c>
      <c r="D122" s="287">
        <f t="shared" si="20"/>
        <v>0</v>
      </c>
      <c r="E122" s="287">
        <f t="shared" si="20"/>
        <v>0</v>
      </c>
      <c r="F122" s="287">
        <f t="shared" si="20"/>
        <v>0</v>
      </c>
      <c r="G122" s="287">
        <f t="shared" si="20"/>
        <v>0</v>
      </c>
      <c r="H122" s="287">
        <f t="shared" si="20"/>
        <v>0</v>
      </c>
    </row>
    <row r="123" spans="1:12">
      <c r="A123" s="99" t="str">
        <f t="shared" si="19"/>
        <v>Green Gram/ Moong</v>
      </c>
      <c r="B123" s="287">
        <f t="shared" si="20"/>
        <v>0</v>
      </c>
      <c r="C123" s="287">
        <f t="shared" si="20"/>
        <v>0</v>
      </c>
      <c r="D123" s="287">
        <f t="shared" si="20"/>
        <v>0</v>
      </c>
      <c r="E123" s="287">
        <f t="shared" si="20"/>
        <v>0</v>
      </c>
      <c r="F123" s="287">
        <f t="shared" si="20"/>
        <v>0</v>
      </c>
      <c r="G123" s="287">
        <f t="shared" si="20"/>
        <v>0</v>
      </c>
      <c r="H123" s="287">
        <f t="shared" si="20"/>
        <v>0</v>
      </c>
    </row>
    <row r="124" spans="1:12">
      <c r="A124" s="99" t="str">
        <f t="shared" si="19"/>
        <v>Maize</v>
      </c>
      <c r="B124" s="287">
        <f t="shared" si="20"/>
        <v>0</v>
      </c>
      <c r="C124" s="287">
        <f t="shared" si="20"/>
        <v>0</v>
      </c>
      <c r="D124" s="287">
        <f t="shared" si="20"/>
        <v>0</v>
      </c>
      <c r="E124" s="287">
        <f t="shared" si="20"/>
        <v>0</v>
      </c>
      <c r="F124" s="287">
        <f t="shared" si="20"/>
        <v>0</v>
      </c>
      <c r="G124" s="287">
        <f t="shared" si="20"/>
        <v>0</v>
      </c>
      <c r="H124" s="287">
        <f t="shared" si="20"/>
        <v>0</v>
      </c>
    </row>
    <row r="125" spans="1:12">
      <c r="A125" s="99" t="str">
        <f t="shared" si="19"/>
        <v>Black Gram/Udid</v>
      </c>
      <c r="B125" s="287">
        <f t="shared" si="20"/>
        <v>0</v>
      </c>
      <c r="C125" s="287">
        <f t="shared" si="20"/>
        <v>0</v>
      </c>
      <c r="D125" s="287">
        <f t="shared" si="20"/>
        <v>0</v>
      </c>
      <c r="E125" s="287">
        <f t="shared" si="20"/>
        <v>0</v>
      </c>
      <c r="F125" s="287">
        <f t="shared" si="20"/>
        <v>0</v>
      </c>
      <c r="G125" s="287">
        <f t="shared" si="20"/>
        <v>0</v>
      </c>
      <c r="H125" s="287">
        <f t="shared" si="20"/>
        <v>0</v>
      </c>
    </row>
    <row r="126" spans="1:12">
      <c r="A126" s="99" t="str">
        <f t="shared" si="19"/>
        <v>Bajra</v>
      </c>
      <c r="B126" s="287">
        <f t="shared" si="20"/>
        <v>0</v>
      </c>
      <c r="C126" s="287">
        <f t="shared" si="20"/>
        <v>0</v>
      </c>
      <c r="D126" s="287">
        <f t="shared" si="20"/>
        <v>0</v>
      </c>
      <c r="E126" s="287">
        <f t="shared" si="20"/>
        <v>0</v>
      </c>
      <c r="F126" s="287">
        <f t="shared" si="20"/>
        <v>0</v>
      </c>
      <c r="G126" s="287">
        <f t="shared" si="20"/>
        <v>0</v>
      </c>
      <c r="H126" s="287">
        <f t="shared" si="20"/>
        <v>0</v>
      </c>
    </row>
    <row r="127" spans="1:12">
      <c r="A127" s="99" t="str">
        <f t="shared" si="19"/>
        <v>Jawar</v>
      </c>
      <c r="B127" s="287">
        <f t="shared" si="20"/>
        <v>0</v>
      </c>
      <c r="C127" s="287">
        <f t="shared" si="20"/>
        <v>0</v>
      </c>
      <c r="D127" s="287">
        <f t="shared" si="20"/>
        <v>0</v>
      </c>
      <c r="E127" s="287">
        <f t="shared" si="20"/>
        <v>0</v>
      </c>
      <c r="F127" s="287">
        <f t="shared" si="20"/>
        <v>0</v>
      </c>
      <c r="G127" s="287">
        <f t="shared" si="20"/>
        <v>0</v>
      </c>
      <c r="H127" s="287">
        <f t="shared" si="20"/>
        <v>0</v>
      </c>
    </row>
    <row r="128" spans="1:12">
      <c r="A128" s="99" t="str">
        <f t="shared" si="19"/>
        <v>Sunflower</v>
      </c>
      <c r="B128" s="287">
        <f t="shared" si="20"/>
        <v>0</v>
      </c>
      <c r="C128" s="287">
        <f t="shared" si="20"/>
        <v>0</v>
      </c>
      <c r="D128" s="287">
        <f t="shared" si="20"/>
        <v>0</v>
      </c>
      <c r="E128" s="287">
        <f t="shared" si="20"/>
        <v>0</v>
      </c>
      <c r="F128" s="287">
        <f t="shared" si="20"/>
        <v>0</v>
      </c>
      <c r="G128" s="287">
        <f t="shared" si="20"/>
        <v>0</v>
      </c>
      <c r="H128" s="287">
        <f t="shared" si="20"/>
        <v>0</v>
      </c>
    </row>
    <row r="129" spans="1:8">
      <c r="A129" s="99" t="str">
        <f t="shared" si="19"/>
        <v>Wheat</v>
      </c>
      <c r="B129" s="287">
        <f t="shared" si="20"/>
        <v>0</v>
      </c>
      <c r="C129" s="287">
        <f t="shared" si="20"/>
        <v>0</v>
      </c>
      <c r="D129" s="287">
        <f t="shared" si="20"/>
        <v>0</v>
      </c>
      <c r="E129" s="287">
        <f t="shared" si="20"/>
        <v>0</v>
      </c>
      <c r="F129" s="287">
        <f t="shared" si="20"/>
        <v>0</v>
      </c>
      <c r="G129" s="287">
        <f t="shared" si="20"/>
        <v>0</v>
      </c>
      <c r="H129" s="287">
        <f t="shared" si="20"/>
        <v>0</v>
      </c>
    </row>
    <row r="130" spans="1:8">
      <c r="A130" s="99" t="str">
        <f t="shared" si="19"/>
        <v>Bengal Gram/Channa</v>
      </c>
      <c r="B130" s="287">
        <f t="shared" ref="B130:H139" si="21">B78-(B78*$G$6)</f>
        <v>614.59199999999998</v>
      </c>
      <c r="C130" s="287">
        <f t="shared" si="21"/>
        <v>676.05119999999999</v>
      </c>
      <c r="D130" s="287">
        <f t="shared" si="21"/>
        <v>737.51040000000012</v>
      </c>
      <c r="E130" s="287">
        <f t="shared" si="21"/>
        <v>798.96960000000013</v>
      </c>
      <c r="F130" s="287">
        <f t="shared" si="21"/>
        <v>860.42880000000025</v>
      </c>
      <c r="G130" s="287">
        <f t="shared" si="21"/>
        <v>921.88800000000026</v>
      </c>
      <c r="H130" s="287">
        <f t="shared" si="21"/>
        <v>983.34720000000027</v>
      </c>
    </row>
    <row r="131" spans="1:8">
      <c r="A131" s="99" t="str">
        <f t="shared" si="19"/>
        <v>Jawar</v>
      </c>
      <c r="B131" s="287">
        <f t="shared" si="21"/>
        <v>0</v>
      </c>
      <c r="C131" s="287">
        <f t="shared" si="21"/>
        <v>0</v>
      </c>
      <c r="D131" s="287">
        <f t="shared" si="21"/>
        <v>0</v>
      </c>
      <c r="E131" s="287">
        <f t="shared" si="21"/>
        <v>0</v>
      </c>
      <c r="F131" s="287">
        <f t="shared" si="21"/>
        <v>0</v>
      </c>
      <c r="G131" s="287">
        <f t="shared" si="21"/>
        <v>0</v>
      </c>
      <c r="H131" s="287">
        <f t="shared" si="21"/>
        <v>0</v>
      </c>
    </row>
    <row r="132" spans="1:8">
      <c r="A132" s="99" t="str">
        <f t="shared" si="19"/>
        <v>Maize</v>
      </c>
      <c r="B132" s="287">
        <f t="shared" si="21"/>
        <v>0</v>
      </c>
      <c r="C132" s="287">
        <f t="shared" si="21"/>
        <v>0</v>
      </c>
      <c r="D132" s="287">
        <f t="shared" si="21"/>
        <v>0</v>
      </c>
      <c r="E132" s="287">
        <f t="shared" si="21"/>
        <v>0</v>
      </c>
      <c r="F132" s="287">
        <f t="shared" si="21"/>
        <v>0</v>
      </c>
      <c r="G132" s="287">
        <f t="shared" si="21"/>
        <v>0</v>
      </c>
      <c r="H132" s="287">
        <f t="shared" si="21"/>
        <v>0</v>
      </c>
    </row>
    <row r="133" spans="1:8">
      <c r="A133" s="99" t="str">
        <f t="shared" si="19"/>
        <v>Safflower</v>
      </c>
      <c r="B133" s="287">
        <f t="shared" si="21"/>
        <v>0</v>
      </c>
      <c r="C133" s="287">
        <f t="shared" si="21"/>
        <v>0</v>
      </c>
      <c r="D133" s="287">
        <f t="shared" si="21"/>
        <v>0</v>
      </c>
      <c r="E133" s="287">
        <f t="shared" si="21"/>
        <v>0</v>
      </c>
      <c r="F133" s="287">
        <f t="shared" si="21"/>
        <v>0</v>
      </c>
      <c r="G133" s="287">
        <f t="shared" si="21"/>
        <v>0</v>
      </c>
      <c r="H133" s="287">
        <f t="shared" si="21"/>
        <v>0</v>
      </c>
    </row>
    <row r="134" spans="1:8">
      <c r="A134" s="99">
        <f t="shared" si="19"/>
        <v>0</v>
      </c>
      <c r="B134" s="287">
        <f t="shared" si="21"/>
        <v>0</v>
      </c>
      <c r="C134" s="287">
        <f t="shared" si="21"/>
        <v>0</v>
      </c>
      <c r="D134" s="287">
        <f t="shared" si="21"/>
        <v>0</v>
      </c>
      <c r="E134" s="287">
        <f t="shared" si="21"/>
        <v>0</v>
      </c>
      <c r="F134" s="287">
        <f t="shared" si="21"/>
        <v>0</v>
      </c>
      <c r="G134" s="287">
        <f t="shared" si="21"/>
        <v>0</v>
      </c>
      <c r="H134" s="287">
        <f t="shared" si="21"/>
        <v>0</v>
      </c>
    </row>
    <row r="135" spans="1:8">
      <c r="A135" s="99">
        <f t="shared" si="19"/>
        <v>0</v>
      </c>
      <c r="B135" s="287">
        <f t="shared" si="21"/>
        <v>0</v>
      </c>
      <c r="C135" s="287">
        <f t="shared" si="21"/>
        <v>0</v>
      </c>
      <c r="D135" s="287">
        <f t="shared" si="21"/>
        <v>0</v>
      </c>
      <c r="E135" s="287">
        <f t="shared" si="21"/>
        <v>0</v>
      </c>
      <c r="F135" s="287">
        <f t="shared" si="21"/>
        <v>0</v>
      </c>
      <c r="G135" s="287">
        <f t="shared" si="21"/>
        <v>0</v>
      </c>
      <c r="H135" s="287">
        <f t="shared" si="21"/>
        <v>0</v>
      </c>
    </row>
    <row r="136" spans="1:8">
      <c r="A136" s="99">
        <f t="shared" si="19"/>
        <v>0</v>
      </c>
      <c r="B136" s="287">
        <f t="shared" si="21"/>
        <v>0</v>
      </c>
      <c r="C136" s="287">
        <f t="shared" si="21"/>
        <v>0</v>
      </c>
      <c r="D136" s="287">
        <f t="shared" si="21"/>
        <v>0</v>
      </c>
      <c r="E136" s="287">
        <f t="shared" si="21"/>
        <v>0</v>
      </c>
      <c r="F136" s="287">
        <f t="shared" si="21"/>
        <v>0</v>
      </c>
      <c r="G136" s="287">
        <f t="shared" si="21"/>
        <v>0</v>
      </c>
      <c r="H136" s="287">
        <f t="shared" si="21"/>
        <v>0</v>
      </c>
    </row>
    <row r="137" spans="1:8">
      <c r="A137" s="99" t="str">
        <f t="shared" si="19"/>
        <v>Groundnut</v>
      </c>
      <c r="B137" s="287">
        <f t="shared" si="21"/>
        <v>0</v>
      </c>
      <c r="C137" s="287">
        <f t="shared" si="21"/>
        <v>0</v>
      </c>
      <c r="D137" s="287">
        <f t="shared" si="21"/>
        <v>0</v>
      </c>
      <c r="E137" s="287">
        <f t="shared" si="21"/>
        <v>0</v>
      </c>
      <c r="F137" s="287">
        <f t="shared" si="21"/>
        <v>0</v>
      </c>
      <c r="G137" s="287">
        <f t="shared" si="21"/>
        <v>0</v>
      </c>
      <c r="H137" s="287">
        <f t="shared" si="21"/>
        <v>0</v>
      </c>
    </row>
    <row r="138" spans="1:8">
      <c r="A138" s="99">
        <f t="shared" si="19"/>
        <v>0</v>
      </c>
      <c r="B138" s="287">
        <f t="shared" si="21"/>
        <v>0</v>
      </c>
      <c r="C138" s="287">
        <f t="shared" si="21"/>
        <v>0</v>
      </c>
      <c r="D138" s="287">
        <f t="shared" si="21"/>
        <v>0</v>
      </c>
      <c r="E138" s="287">
        <f t="shared" si="21"/>
        <v>0</v>
      </c>
      <c r="F138" s="287">
        <f t="shared" si="21"/>
        <v>0</v>
      </c>
      <c r="G138" s="287">
        <f t="shared" si="21"/>
        <v>0</v>
      </c>
      <c r="H138" s="287">
        <f t="shared" si="21"/>
        <v>0</v>
      </c>
    </row>
    <row r="139" spans="1:8">
      <c r="A139" s="99">
        <f t="shared" si="19"/>
        <v>0</v>
      </c>
      <c r="B139" s="287">
        <f t="shared" si="21"/>
        <v>0</v>
      </c>
      <c r="C139" s="287">
        <f t="shared" si="21"/>
        <v>0</v>
      </c>
      <c r="D139" s="287">
        <f t="shared" si="21"/>
        <v>0</v>
      </c>
      <c r="E139" s="287">
        <f t="shared" si="21"/>
        <v>0</v>
      </c>
      <c r="F139" s="287">
        <f t="shared" si="21"/>
        <v>0</v>
      </c>
      <c r="G139" s="287">
        <f t="shared" si="21"/>
        <v>0</v>
      </c>
      <c r="H139" s="287">
        <f t="shared" si="21"/>
        <v>0</v>
      </c>
    </row>
    <row r="140" spans="1:8">
      <c r="A140" s="99">
        <f t="shared" si="19"/>
        <v>0</v>
      </c>
      <c r="B140" s="287">
        <f t="shared" ref="B140:H141" si="22">B88-(B88*$G$6)</f>
        <v>0</v>
      </c>
      <c r="C140" s="287">
        <f t="shared" si="22"/>
        <v>0</v>
      </c>
      <c r="D140" s="287">
        <f t="shared" si="22"/>
        <v>0</v>
      </c>
      <c r="E140" s="287">
        <f t="shared" si="22"/>
        <v>0</v>
      </c>
      <c r="F140" s="287">
        <f t="shared" si="22"/>
        <v>0</v>
      </c>
      <c r="G140" s="287">
        <f t="shared" si="22"/>
        <v>0</v>
      </c>
      <c r="H140" s="287">
        <f t="shared" si="22"/>
        <v>0</v>
      </c>
    </row>
    <row r="141" spans="1:8">
      <c r="A141" s="99">
        <f t="shared" si="19"/>
        <v>0</v>
      </c>
      <c r="B141" s="287">
        <f t="shared" si="22"/>
        <v>0</v>
      </c>
      <c r="C141" s="287">
        <f t="shared" si="22"/>
        <v>0</v>
      </c>
      <c r="D141" s="287">
        <f t="shared" si="22"/>
        <v>0</v>
      </c>
      <c r="E141" s="287">
        <f t="shared" si="22"/>
        <v>0</v>
      </c>
      <c r="F141" s="287">
        <f t="shared" si="22"/>
        <v>0</v>
      </c>
      <c r="G141" s="287">
        <f t="shared" si="22"/>
        <v>0</v>
      </c>
      <c r="H141" s="287">
        <f t="shared" si="22"/>
        <v>0</v>
      </c>
    </row>
    <row r="142" spans="1:8">
      <c r="A142" s="99"/>
      <c r="B142" s="287"/>
      <c r="C142" s="287"/>
      <c r="D142" s="287"/>
      <c r="E142" s="287"/>
      <c r="F142" s="287"/>
      <c r="G142" s="287"/>
      <c r="H142" s="287"/>
    </row>
    <row r="143" spans="1:8">
      <c r="A143" s="101" t="str">
        <f t="shared" ref="A143:A161" si="23">A91</f>
        <v>Fruit  &amp; Vegetables Crop Production Details</v>
      </c>
      <c r="B143" s="287"/>
      <c r="C143" s="287"/>
      <c r="D143" s="287"/>
      <c r="E143" s="287"/>
      <c r="F143" s="287"/>
      <c r="G143" s="287"/>
      <c r="H143" s="287"/>
    </row>
    <row r="144" spans="1:8">
      <c r="A144" s="99" t="str">
        <f t="shared" si="23"/>
        <v>Onion</v>
      </c>
      <c r="B144" s="287">
        <f t="shared" ref="B144:H153" si="24">B92-(B92*$G$7)</f>
        <v>0</v>
      </c>
      <c r="C144" s="287">
        <f t="shared" si="24"/>
        <v>0</v>
      </c>
      <c r="D144" s="287">
        <f t="shared" si="24"/>
        <v>0</v>
      </c>
      <c r="E144" s="287">
        <f t="shared" si="24"/>
        <v>0</v>
      </c>
      <c r="F144" s="287">
        <f t="shared" si="24"/>
        <v>0</v>
      </c>
      <c r="G144" s="287">
        <f t="shared" si="24"/>
        <v>0</v>
      </c>
      <c r="H144" s="287">
        <f t="shared" si="24"/>
        <v>0</v>
      </c>
    </row>
    <row r="145" spans="1:8">
      <c r="A145" s="99" t="str">
        <f t="shared" si="23"/>
        <v>Tomato</v>
      </c>
      <c r="B145" s="287">
        <f t="shared" si="24"/>
        <v>0</v>
      </c>
      <c r="C145" s="287">
        <f t="shared" si="24"/>
        <v>0</v>
      </c>
      <c r="D145" s="287">
        <f t="shared" si="24"/>
        <v>0</v>
      </c>
      <c r="E145" s="287">
        <f t="shared" si="24"/>
        <v>0</v>
      </c>
      <c r="F145" s="287">
        <f t="shared" si="24"/>
        <v>0</v>
      </c>
      <c r="G145" s="287">
        <f t="shared" si="24"/>
        <v>0</v>
      </c>
      <c r="H145" s="287">
        <f t="shared" si="24"/>
        <v>0</v>
      </c>
    </row>
    <row r="146" spans="1:8">
      <c r="A146" s="99" t="str">
        <f t="shared" si="23"/>
        <v>Okra</v>
      </c>
      <c r="B146" s="287">
        <f t="shared" si="24"/>
        <v>0</v>
      </c>
      <c r="C146" s="287">
        <f t="shared" si="24"/>
        <v>0</v>
      </c>
      <c r="D146" s="287">
        <f t="shared" si="24"/>
        <v>0</v>
      </c>
      <c r="E146" s="287">
        <f t="shared" si="24"/>
        <v>0</v>
      </c>
      <c r="F146" s="287">
        <f t="shared" si="24"/>
        <v>0</v>
      </c>
      <c r="G146" s="287">
        <f t="shared" si="24"/>
        <v>0</v>
      </c>
      <c r="H146" s="287">
        <f t="shared" si="24"/>
        <v>0</v>
      </c>
    </row>
    <row r="147" spans="1:8">
      <c r="A147" s="99" t="str">
        <f t="shared" si="23"/>
        <v>Chilli</v>
      </c>
      <c r="B147" s="287">
        <f t="shared" si="24"/>
        <v>0</v>
      </c>
      <c r="C147" s="287">
        <f t="shared" si="24"/>
        <v>0</v>
      </c>
      <c r="D147" s="287">
        <f t="shared" si="24"/>
        <v>0</v>
      </c>
      <c r="E147" s="287">
        <f t="shared" si="24"/>
        <v>0</v>
      </c>
      <c r="F147" s="287">
        <f t="shared" si="24"/>
        <v>0</v>
      </c>
      <c r="G147" s="287">
        <f t="shared" si="24"/>
        <v>0</v>
      </c>
      <c r="H147" s="287">
        <f t="shared" si="24"/>
        <v>0</v>
      </c>
    </row>
    <row r="148" spans="1:8">
      <c r="A148" s="99" t="str">
        <f t="shared" si="23"/>
        <v>Potato</v>
      </c>
      <c r="B148" s="287">
        <f t="shared" si="24"/>
        <v>0</v>
      </c>
      <c r="C148" s="287">
        <f t="shared" si="24"/>
        <v>0</v>
      </c>
      <c r="D148" s="287">
        <f t="shared" si="24"/>
        <v>0</v>
      </c>
      <c r="E148" s="287">
        <f t="shared" si="24"/>
        <v>0</v>
      </c>
      <c r="F148" s="287">
        <f t="shared" si="24"/>
        <v>0</v>
      </c>
      <c r="G148" s="287">
        <f t="shared" si="24"/>
        <v>0</v>
      </c>
      <c r="H148" s="287">
        <f t="shared" si="24"/>
        <v>0</v>
      </c>
    </row>
    <row r="149" spans="1:8">
      <c r="A149" s="99">
        <f t="shared" si="23"/>
        <v>0</v>
      </c>
      <c r="B149" s="287">
        <f t="shared" si="24"/>
        <v>0</v>
      </c>
      <c r="C149" s="287">
        <f t="shared" si="24"/>
        <v>0</v>
      </c>
      <c r="D149" s="287">
        <f t="shared" si="24"/>
        <v>0</v>
      </c>
      <c r="E149" s="287">
        <f t="shared" si="24"/>
        <v>0</v>
      </c>
      <c r="F149" s="287">
        <f t="shared" si="24"/>
        <v>0</v>
      </c>
      <c r="G149" s="287">
        <f t="shared" si="24"/>
        <v>0</v>
      </c>
      <c r="H149" s="287">
        <f t="shared" si="24"/>
        <v>0</v>
      </c>
    </row>
    <row r="150" spans="1:8">
      <c r="A150" s="99">
        <f t="shared" si="23"/>
        <v>0</v>
      </c>
      <c r="B150" s="287">
        <f t="shared" si="24"/>
        <v>0</v>
      </c>
      <c r="C150" s="287">
        <f t="shared" si="24"/>
        <v>0</v>
      </c>
      <c r="D150" s="287">
        <f t="shared" si="24"/>
        <v>0</v>
      </c>
      <c r="E150" s="287">
        <f t="shared" si="24"/>
        <v>0</v>
      </c>
      <c r="F150" s="287">
        <f t="shared" si="24"/>
        <v>0</v>
      </c>
      <c r="G150" s="287">
        <f t="shared" si="24"/>
        <v>0</v>
      </c>
      <c r="H150" s="287">
        <f t="shared" si="24"/>
        <v>0</v>
      </c>
    </row>
    <row r="151" spans="1:8">
      <c r="A151" s="99">
        <f t="shared" si="23"/>
        <v>0</v>
      </c>
      <c r="B151" s="287">
        <f t="shared" si="24"/>
        <v>0</v>
      </c>
      <c r="C151" s="287">
        <f t="shared" si="24"/>
        <v>0</v>
      </c>
      <c r="D151" s="287">
        <f t="shared" si="24"/>
        <v>0</v>
      </c>
      <c r="E151" s="287">
        <f t="shared" si="24"/>
        <v>0</v>
      </c>
      <c r="F151" s="287">
        <f t="shared" si="24"/>
        <v>0</v>
      </c>
      <c r="G151" s="287">
        <f t="shared" si="24"/>
        <v>0</v>
      </c>
      <c r="H151" s="287">
        <f t="shared" si="24"/>
        <v>0</v>
      </c>
    </row>
    <row r="152" spans="1:8">
      <c r="A152" s="99">
        <f t="shared" si="23"/>
        <v>0</v>
      </c>
      <c r="B152" s="287">
        <f t="shared" si="24"/>
        <v>0</v>
      </c>
      <c r="C152" s="287">
        <f t="shared" si="24"/>
        <v>0</v>
      </c>
      <c r="D152" s="287">
        <f t="shared" si="24"/>
        <v>0</v>
      </c>
      <c r="E152" s="287">
        <f t="shared" si="24"/>
        <v>0</v>
      </c>
      <c r="F152" s="287">
        <f t="shared" si="24"/>
        <v>0</v>
      </c>
      <c r="G152" s="287">
        <f t="shared" si="24"/>
        <v>0</v>
      </c>
      <c r="H152" s="287">
        <f t="shared" si="24"/>
        <v>0</v>
      </c>
    </row>
    <row r="153" spans="1:8">
      <c r="A153" s="99" t="str">
        <f t="shared" si="23"/>
        <v>Onion</v>
      </c>
      <c r="B153" s="287">
        <f t="shared" si="24"/>
        <v>0</v>
      </c>
      <c r="C153" s="287">
        <f t="shared" si="24"/>
        <v>0</v>
      </c>
      <c r="D153" s="287">
        <f t="shared" si="24"/>
        <v>0</v>
      </c>
      <c r="E153" s="287">
        <f t="shared" si="24"/>
        <v>0</v>
      </c>
      <c r="F153" s="287">
        <f t="shared" si="24"/>
        <v>0</v>
      </c>
      <c r="G153" s="287">
        <f t="shared" si="24"/>
        <v>0</v>
      </c>
      <c r="H153" s="287">
        <f t="shared" si="24"/>
        <v>0</v>
      </c>
    </row>
    <row r="154" spans="1:8">
      <c r="A154" s="99" t="str">
        <f t="shared" si="23"/>
        <v>Tomato</v>
      </c>
      <c r="B154" s="287">
        <f t="shared" ref="B154:H161" si="25">B102-(B102*$G$7)</f>
        <v>0</v>
      </c>
      <c r="C154" s="287">
        <f t="shared" si="25"/>
        <v>0</v>
      </c>
      <c r="D154" s="287">
        <f t="shared" si="25"/>
        <v>0</v>
      </c>
      <c r="E154" s="287">
        <f t="shared" si="25"/>
        <v>0</v>
      </c>
      <c r="F154" s="287">
        <f t="shared" si="25"/>
        <v>0</v>
      </c>
      <c r="G154" s="287">
        <f t="shared" si="25"/>
        <v>0</v>
      </c>
      <c r="H154" s="287">
        <f t="shared" si="25"/>
        <v>0</v>
      </c>
    </row>
    <row r="155" spans="1:8">
      <c r="A155" s="99" t="str">
        <f t="shared" si="23"/>
        <v>Okra</v>
      </c>
      <c r="B155" s="287">
        <f t="shared" si="25"/>
        <v>0</v>
      </c>
      <c r="C155" s="287">
        <f t="shared" si="25"/>
        <v>0</v>
      </c>
      <c r="D155" s="287">
        <f t="shared" si="25"/>
        <v>0</v>
      </c>
      <c r="E155" s="287">
        <f t="shared" si="25"/>
        <v>0</v>
      </c>
      <c r="F155" s="287">
        <f t="shared" si="25"/>
        <v>0</v>
      </c>
      <c r="G155" s="287">
        <f t="shared" si="25"/>
        <v>0</v>
      </c>
      <c r="H155" s="287">
        <f t="shared" si="25"/>
        <v>0</v>
      </c>
    </row>
    <row r="156" spans="1:8">
      <c r="A156" s="99" t="str">
        <f t="shared" si="23"/>
        <v>Chilli</v>
      </c>
      <c r="B156" s="287">
        <f t="shared" si="25"/>
        <v>0</v>
      </c>
      <c r="C156" s="287">
        <f t="shared" si="25"/>
        <v>0</v>
      </c>
      <c r="D156" s="287">
        <f t="shared" si="25"/>
        <v>0</v>
      </c>
      <c r="E156" s="287">
        <f t="shared" si="25"/>
        <v>0</v>
      </c>
      <c r="F156" s="287">
        <f t="shared" si="25"/>
        <v>0</v>
      </c>
      <c r="G156" s="287">
        <f t="shared" si="25"/>
        <v>0</v>
      </c>
      <c r="H156" s="287">
        <f t="shared" si="25"/>
        <v>0</v>
      </c>
    </row>
    <row r="157" spans="1:8">
      <c r="A157" s="99" t="str">
        <f t="shared" si="23"/>
        <v>Brinjal</v>
      </c>
      <c r="B157" s="287">
        <f t="shared" si="25"/>
        <v>0</v>
      </c>
      <c r="C157" s="287">
        <f t="shared" si="25"/>
        <v>0</v>
      </c>
      <c r="D157" s="287">
        <f t="shared" si="25"/>
        <v>0</v>
      </c>
      <c r="E157" s="287">
        <f t="shared" si="25"/>
        <v>0</v>
      </c>
      <c r="F157" s="287">
        <f t="shared" si="25"/>
        <v>0</v>
      </c>
      <c r="G157" s="287">
        <f t="shared" si="25"/>
        <v>0</v>
      </c>
      <c r="H157" s="287">
        <f t="shared" si="25"/>
        <v>0</v>
      </c>
    </row>
    <row r="158" spans="1:8">
      <c r="A158" s="99">
        <f t="shared" si="23"/>
        <v>0</v>
      </c>
      <c r="B158" s="287">
        <f t="shared" si="25"/>
        <v>0</v>
      </c>
      <c r="C158" s="287">
        <f t="shared" si="25"/>
        <v>0</v>
      </c>
      <c r="D158" s="287">
        <f t="shared" si="25"/>
        <v>0</v>
      </c>
      <c r="E158" s="287">
        <f t="shared" si="25"/>
        <v>0</v>
      </c>
      <c r="F158" s="287">
        <f t="shared" si="25"/>
        <v>0</v>
      </c>
      <c r="G158" s="287">
        <f t="shared" si="25"/>
        <v>0</v>
      </c>
      <c r="H158" s="287">
        <f t="shared" si="25"/>
        <v>0</v>
      </c>
    </row>
    <row r="159" spans="1:8">
      <c r="A159" s="99">
        <f t="shared" si="23"/>
        <v>0</v>
      </c>
      <c r="B159" s="287">
        <f t="shared" si="25"/>
        <v>0</v>
      </c>
      <c r="C159" s="287">
        <f t="shared" si="25"/>
        <v>0</v>
      </c>
      <c r="D159" s="287">
        <f t="shared" si="25"/>
        <v>0</v>
      </c>
      <c r="E159" s="287">
        <f t="shared" si="25"/>
        <v>0</v>
      </c>
      <c r="F159" s="287">
        <f t="shared" si="25"/>
        <v>0</v>
      </c>
      <c r="G159" s="287">
        <f t="shared" si="25"/>
        <v>0</v>
      </c>
      <c r="H159" s="287">
        <f t="shared" si="25"/>
        <v>0</v>
      </c>
    </row>
    <row r="160" spans="1:8">
      <c r="A160" s="99">
        <f t="shared" si="23"/>
        <v>0</v>
      </c>
      <c r="B160" s="287">
        <f t="shared" si="25"/>
        <v>0</v>
      </c>
      <c r="C160" s="287">
        <f t="shared" si="25"/>
        <v>0</v>
      </c>
      <c r="D160" s="287">
        <f t="shared" si="25"/>
        <v>0</v>
      </c>
      <c r="E160" s="287">
        <f t="shared" si="25"/>
        <v>0</v>
      </c>
      <c r="F160" s="287">
        <f t="shared" si="25"/>
        <v>0</v>
      </c>
      <c r="G160" s="287">
        <f t="shared" si="25"/>
        <v>0</v>
      </c>
      <c r="H160" s="287">
        <f t="shared" si="25"/>
        <v>0</v>
      </c>
    </row>
    <row r="161" spans="1:20">
      <c r="A161" s="99">
        <f t="shared" si="23"/>
        <v>0</v>
      </c>
      <c r="B161" s="287">
        <f t="shared" si="25"/>
        <v>0</v>
      </c>
      <c r="C161" s="287">
        <f t="shared" si="25"/>
        <v>0</v>
      </c>
      <c r="D161" s="287">
        <f t="shared" si="25"/>
        <v>0</v>
      </c>
      <c r="E161" s="287">
        <f t="shared" si="25"/>
        <v>0</v>
      </c>
      <c r="F161" s="287">
        <f t="shared" si="25"/>
        <v>0</v>
      </c>
      <c r="G161" s="287">
        <f t="shared" si="25"/>
        <v>0</v>
      </c>
      <c r="H161" s="287">
        <f t="shared" si="25"/>
        <v>0</v>
      </c>
    </row>
    <row r="162" spans="1:20">
      <c r="A162" s="99">
        <f t="shared" ref="A162:A165" si="26">A110</f>
        <v>0</v>
      </c>
      <c r="B162" s="287">
        <f t="shared" ref="B162:H162" si="27">B110-(B110*$G$7)</f>
        <v>0</v>
      </c>
      <c r="C162" s="287">
        <f t="shared" si="27"/>
        <v>0</v>
      </c>
      <c r="D162" s="287">
        <f t="shared" si="27"/>
        <v>0</v>
      </c>
      <c r="E162" s="287">
        <f t="shared" si="27"/>
        <v>0</v>
      </c>
      <c r="F162" s="287">
        <f t="shared" si="27"/>
        <v>0</v>
      </c>
      <c r="G162" s="287">
        <f t="shared" si="27"/>
        <v>0</v>
      </c>
      <c r="H162" s="287">
        <f t="shared" si="27"/>
        <v>0</v>
      </c>
    </row>
    <row r="163" spans="1:20">
      <c r="A163" s="99">
        <f t="shared" si="26"/>
        <v>0</v>
      </c>
      <c r="B163" s="287">
        <f t="shared" ref="B163:H163" si="28">B111-(B111*$G$7)</f>
        <v>0</v>
      </c>
      <c r="C163" s="287">
        <f t="shared" si="28"/>
        <v>0</v>
      </c>
      <c r="D163" s="287">
        <f t="shared" si="28"/>
        <v>0</v>
      </c>
      <c r="E163" s="287">
        <f t="shared" si="28"/>
        <v>0</v>
      </c>
      <c r="F163" s="287">
        <f t="shared" si="28"/>
        <v>0</v>
      </c>
      <c r="G163" s="287">
        <f t="shared" si="28"/>
        <v>0</v>
      </c>
      <c r="H163" s="287">
        <f t="shared" si="28"/>
        <v>0</v>
      </c>
    </row>
    <row r="164" spans="1:20">
      <c r="A164" s="99">
        <f t="shared" si="26"/>
        <v>0</v>
      </c>
      <c r="B164" s="287">
        <f t="shared" ref="B164:H165" si="29">B112-(B112*$G$7)</f>
        <v>0</v>
      </c>
      <c r="C164" s="287">
        <f t="shared" si="29"/>
        <v>0</v>
      </c>
      <c r="D164" s="287">
        <f t="shared" si="29"/>
        <v>0</v>
      </c>
      <c r="E164" s="287">
        <f t="shared" si="29"/>
        <v>0</v>
      </c>
      <c r="F164" s="287">
        <f t="shared" si="29"/>
        <v>0</v>
      </c>
      <c r="G164" s="287">
        <f t="shared" si="29"/>
        <v>0</v>
      </c>
      <c r="H164" s="287">
        <f t="shared" si="29"/>
        <v>0</v>
      </c>
    </row>
    <row r="165" spans="1:20">
      <c r="A165" s="99" t="str">
        <f t="shared" si="26"/>
        <v>Pomegranate</v>
      </c>
      <c r="B165" s="287">
        <f t="shared" si="29"/>
        <v>0</v>
      </c>
      <c r="C165" s="287">
        <f t="shared" ref="C165:H168" si="30">C113-(C113*$G$7)</f>
        <v>0</v>
      </c>
      <c r="D165" s="287">
        <f t="shared" si="30"/>
        <v>0</v>
      </c>
      <c r="E165" s="287">
        <f t="shared" si="30"/>
        <v>0</v>
      </c>
      <c r="F165" s="287">
        <f t="shared" si="30"/>
        <v>0</v>
      </c>
      <c r="G165" s="287">
        <f t="shared" si="30"/>
        <v>0</v>
      </c>
      <c r="H165" s="287">
        <f t="shared" si="30"/>
        <v>0</v>
      </c>
    </row>
    <row r="166" spans="1:20">
      <c r="A166" s="99" t="str">
        <f>A114</f>
        <v>Custard Apple</v>
      </c>
      <c r="B166" s="287">
        <f>B114-(B114*$G$7)</f>
        <v>0</v>
      </c>
      <c r="C166" s="287">
        <f t="shared" si="30"/>
        <v>0</v>
      </c>
      <c r="D166" s="287">
        <f t="shared" si="30"/>
        <v>0</v>
      </c>
      <c r="E166" s="287">
        <f t="shared" si="30"/>
        <v>0</v>
      </c>
      <c r="F166" s="287">
        <f t="shared" si="30"/>
        <v>0</v>
      </c>
      <c r="G166" s="287">
        <f t="shared" si="30"/>
        <v>0</v>
      </c>
      <c r="H166" s="287">
        <f t="shared" si="30"/>
        <v>0</v>
      </c>
    </row>
    <row r="167" spans="1:20">
      <c r="A167" s="99" t="str">
        <f>A115</f>
        <v>Guava</v>
      </c>
      <c r="B167" s="287">
        <f>B115-(B115*$G$7)</f>
        <v>0</v>
      </c>
      <c r="C167" s="287">
        <f t="shared" si="30"/>
        <v>0</v>
      </c>
      <c r="D167" s="287">
        <f t="shared" si="30"/>
        <v>0</v>
      </c>
      <c r="E167" s="287">
        <f t="shared" si="30"/>
        <v>0</v>
      </c>
      <c r="F167" s="287">
        <f t="shared" si="30"/>
        <v>0</v>
      </c>
      <c r="G167" s="287">
        <f t="shared" si="30"/>
        <v>0</v>
      </c>
      <c r="H167" s="287">
        <f t="shared" si="30"/>
        <v>0</v>
      </c>
    </row>
    <row r="168" spans="1:20">
      <c r="A168" s="99" t="str">
        <f>A116</f>
        <v>Citrus</v>
      </c>
      <c r="B168" s="287">
        <f>B116-(B116*$G$7)</f>
        <v>0</v>
      </c>
      <c r="C168" s="287">
        <f t="shared" si="30"/>
        <v>0</v>
      </c>
      <c r="D168" s="287">
        <f t="shared" si="30"/>
        <v>0</v>
      </c>
      <c r="E168" s="287">
        <f t="shared" si="30"/>
        <v>0</v>
      </c>
      <c r="F168" s="287">
        <f t="shared" si="30"/>
        <v>0</v>
      </c>
      <c r="G168" s="287">
        <f t="shared" si="30"/>
        <v>0</v>
      </c>
      <c r="H168" s="287">
        <f t="shared" si="30"/>
        <v>0</v>
      </c>
    </row>
    <row r="169" spans="1:20">
      <c r="A169" s="177"/>
    </row>
    <row r="170" spans="1:20" ht="18.75">
      <c r="A170" s="438" t="s">
        <v>604</v>
      </c>
      <c r="B170" s="438"/>
      <c r="C170" s="438"/>
      <c r="D170" s="438"/>
      <c r="E170" s="438"/>
      <c r="F170" s="438"/>
      <c r="G170" s="438"/>
      <c r="H170" s="438"/>
      <c r="I170" s="438"/>
      <c r="J170" s="438"/>
    </row>
    <row r="171" spans="1:20">
      <c r="A171" s="16"/>
      <c r="B171" s="16"/>
      <c r="C171" s="16"/>
      <c r="D171" s="16"/>
      <c r="E171" s="16"/>
      <c r="F171" s="16"/>
      <c r="G171" s="16"/>
      <c r="H171" s="16"/>
    </row>
    <row r="172" spans="1:20">
      <c r="A172" s="187"/>
      <c r="B172" s="187"/>
      <c r="C172" s="187"/>
      <c r="D172" s="188">
        <v>1</v>
      </c>
      <c r="E172" s="189">
        <f>(D172*5%)+D172</f>
        <v>1.05</v>
      </c>
      <c r="F172" s="189">
        <f t="shared" ref="F172:J172" si="31">(E172*5%)+E172</f>
        <v>1.1025</v>
      </c>
      <c r="G172" s="189">
        <f t="shared" si="31"/>
        <v>1.1576250000000001</v>
      </c>
      <c r="H172" s="189">
        <f t="shared" si="31"/>
        <v>1.2155062500000002</v>
      </c>
      <c r="I172" s="189">
        <f t="shared" si="31"/>
        <v>1.2762815625000004</v>
      </c>
      <c r="J172" s="18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69"/>
      <c r="E174" s="169"/>
      <c r="F174" s="169"/>
      <c r="G174" s="169"/>
      <c r="H174" s="169"/>
      <c r="I174" s="169"/>
      <c r="J174" s="16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369</v>
      </c>
      <c r="C178" s="247">
        <v>3350</v>
      </c>
      <c r="D178" s="190">
        <f>(B120*(1-'5.Closing Stock &amp; W Capital'!$D$16))*C$178*D172</f>
        <v>13202588.52</v>
      </c>
      <c r="E178" s="190">
        <f>((C120*(1-'5.Closing Stock &amp; W Capital'!$D$16))+(B120*'5.Closing Stock &amp; W Capital'!$D$16))*$C178*E$172</f>
        <v>15978606.4746</v>
      </c>
      <c r="F178" s="190">
        <f>((D120*(1-'5.Closing Stock &amp; W Capital'!$D$16))+(C120*'5.Closing Stock &amp; W Capital'!$D$16))*$C178*F$172</f>
        <v>18309731.939730003</v>
      </c>
      <c r="G178" s="190">
        <f>((E120*(1-'5.Closing Stock &amp; W Capital'!$D$16))+(D120*'5.Closing Stock &amp; W Capital'!$D$16))*$C178*G$172</f>
        <v>20834023.435186505</v>
      </c>
      <c r="H178" s="190">
        <f>((F120*(1-'5.Closing Stock &amp; W Capital'!$D$16))+(E120*'5.Closing Stock &amp; W Capital'!$D$16))*$C178*H$172</f>
        <v>23564969.750339333</v>
      </c>
      <c r="I178" s="190">
        <f>((G120*(1-'5.Closing Stock &amp; W Capital'!$D$16))+(F120*'5.Closing Stock &amp; W Capital'!$D$16))*$C178*I$172</f>
        <v>26516925.638419483</v>
      </c>
      <c r="J178" s="190">
        <f>((H120*(1-'5.Closing Stock &amp; W Capital'!$D$16))+(G120*'5.Closing Stock &amp; W Capital'!$D$16))*$C178*J$172</f>
        <v>29705164.690931797</v>
      </c>
      <c r="K178" s="94"/>
      <c r="L178" s="94"/>
    </row>
    <row r="179" spans="1:12">
      <c r="A179" s="95" t="str">
        <f t="shared" si="32"/>
        <v>Red Gram/Tur</v>
      </c>
      <c r="B179" s="95" t="s">
        <v>369</v>
      </c>
      <c r="C179" s="247">
        <v>6000</v>
      </c>
      <c r="D179" s="190">
        <f>(B121*(1-'5.Closing Stock &amp; W Capital'!$D$16))*$C179*D$172</f>
        <v>0</v>
      </c>
      <c r="E179" s="190">
        <f>((C121*(1-'5.Closing Stock &amp; W Capital'!$D$16))+(B121*'5.Closing Stock &amp; W Capital'!$D$16))*$C179*E$172</f>
        <v>0</v>
      </c>
      <c r="F179" s="190">
        <f>((D121*(1-'5.Closing Stock &amp; W Capital'!$D$16))+(C121*'5.Closing Stock &amp; W Capital'!$D$16))*$C179*F$172</f>
        <v>0</v>
      </c>
      <c r="G179" s="190">
        <f>((E121*(1-'5.Closing Stock &amp; W Capital'!$D$16))+(D121*'5.Closing Stock &amp; W Capital'!$D$16))*$C179*G$172</f>
        <v>0</v>
      </c>
      <c r="H179" s="190">
        <f>((F121*(1-'5.Closing Stock &amp; W Capital'!$D$16))+(E121*'5.Closing Stock &amp; W Capital'!$D$16))*$C179*H$172</f>
        <v>0</v>
      </c>
      <c r="I179" s="190">
        <f>((G121*(1-'5.Closing Stock &amp; W Capital'!$D$16))+(F121*'5.Closing Stock &amp; W Capital'!$D$16))*$C179*I$172</f>
        <v>0</v>
      </c>
      <c r="J179" s="190">
        <f>((H121*(1-'5.Closing Stock &amp; W Capital'!$D$16))+(G121*'5.Closing Stock &amp; W Capital'!$D$16))*$C179*J$172</f>
        <v>0</v>
      </c>
      <c r="K179" s="94"/>
      <c r="L179" s="94"/>
    </row>
    <row r="180" spans="1:12">
      <c r="A180" s="95" t="str">
        <f t="shared" si="32"/>
        <v>Paddy/Rice</v>
      </c>
      <c r="B180" s="95" t="s">
        <v>369</v>
      </c>
      <c r="C180" s="247"/>
      <c r="D180" s="190">
        <f>(B122*(1-'5.Closing Stock &amp; W Capital'!$D$16))*$C180*D$172</f>
        <v>0</v>
      </c>
      <c r="E180" s="190">
        <f>((C122*(1-'5.Closing Stock &amp; W Capital'!$D$16))+(B122*'5.Closing Stock &amp; W Capital'!$D$16))*$C180*E$172</f>
        <v>0</v>
      </c>
      <c r="F180" s="190">
        <f>((D122*(1-'5.Closing Stock &amp; W Capital'!$D$16))+(C122*'5.Closing Stock &amp; W Capital'!$D$16))*$C180*F$172</f>
        <v>0</v>
      </c>
      <c r="G180" s="190">
        <f>((E122*(1-'5.Closing Stock &amp; W Capital'!$D$16))+(D122*'5.Closing Stock &amp; W Capital'!$D$16))*$C180*G$172</f>
        <v>0</v>
      </c>
      <c r="H180" s="190">
        <f>((F122*(1-'5.Closing Stock &amp; W Capital'!$D$16))+(E122*'5.Closing Stock &amp; W Capital'!$D$16))*$C180*H$172</f>
        <v>0</v>
      </c>
      <c r="I180" s="190">
        <f>((G122*(1-'5.Closing Stock &amp; W Capital'!$D$16))+(F122*'5.Closing Stock &amp; W Capital'!$D$16))*$C180*I$172</f>
        <v>0</v>
      </c>
      <c r="J180" s="190">
        <f>((H122*(1-'5.Closing Stock &amp; W Capital'!$D$16))+(G122*'5.Closing Stock &amp; W Capital'!$D$16))*$C180*J$172</f>
        <v>0</v>
      </c>
      <c r="K180" s="94"/>
      <c r="L180" s="94"/>
    </row>
    <row r="181" spans="1:12">
      <c r="A181" s="95" t="str">
        <f t="shared" si="32"/>
        <v>Green Gram/ Moong</v>
      </c>
      <c r="B181" s="95" t="s">
        <v>369</v>
      </c>
      <c r="C181" s="247">
        <v>6000</v>
      </c>
      <c r="D181" s="190">
        <f>(B123*(1-'5.Closing Stock &amp; W Capital'!$D$16))*$C181*D$172</f>
        <v>0</v>
      </c>
      <c r="E181" s="190">
        <f>((C123*(1-'5.Closing Stock &amp; W Capital'!$D$16))+(B123*'5.Closing Stock &amp; W Capital'!$D$16))*$C181*E$172</f>
        <v>0</v>
      </c>
      <c r="F181" s="190">
        <f>((D123*(1-'5.Closing Stock &amp; W Capital'!$D$16))+(C123*'5.Closing Stock &amp; W Capital'!$D$16))*$C181*F$172</f>
        <v>0</v>
      </c>
      <c r="G181" s="190">
        <f>((E123*(1-'5.Closing Stock &amp; W Capital'!$D$16))+(D123*'5.Closing Stock &amp; W Capital'!$D$16))*$C181*G$172</f>
        <v>0</v>
      </c>
      <c r="H181" s="190">
        <f>((F123*(1-'5.Closing Stock &amp; W Capital'!$D$16))+(E123*'5.Closing Stock &amp; W Capital'!$D$16))*$C181*H$172</f>
        <v>0</v>
      </c>
      <c r="I181" s="190">
        <f>((G123*(1-'5.Closing Stock &amp; W Capital'!$D$16))+(F123*'5.Closing Stock &amp; W Capital'!$D$16))*$C181*I$172</f>
        <v>0</v>
      </c>
      <c r="J181" s="190">
        <f>((H123*(1-'5.Closing Stock &amp; W Capital'!$D$16))+(G123*'5.Closing Stock &amp; W Capital'!$D$16))*$C181*J$172</f>
        <v>0</v>
      </c>
      <c r="K181" s="94"/>
      <c r="L181" s="94"/>
    </row>
    <row r="182" spans="1:12">
      <c r="A182" s="95" t="str">
        <f t="shared" si="32"/>
        <v>Maize</v>
      </c>
      <c r="B182" s="95" t="s">
        <v>369</v>
      </c>
      <c r="C182" s="247"/>
      <c r="D182" s="190">
        <f>(B124*(1-'5.Closing Stock &amp; W Capital'!$D$16))*$C182*D$172</f>
        <v>0</v>
      </c>
      <c r="E182" s="190">
        <f>((C124*(1-'5.Closing Stock &amp; W Capital'!$D$16))+(B124*'5.Closing Stock &amp; W Capital'!$D$16))*$C182*E$172</f>
        <v>0</v>
      </c>
      <c r="F182" s="190">
        <f>((D124*(1-'5.Closing Stock &amp; W Capital'!$D$16))+(C124*'5.Closing Stock &amp; W Capital'!$D$16))*$C182*F$172</f>
        <v>0</v>
      </c>
      <c r="G182" s="190">
        <f>((E124*(1-'5.Closing Stock &amp; W Capital'!$D$16))+(D124*'5.Closing Stock &amp; W Capital'!$D$16))*$C182*G$172</f>
        <v>0</v>
      </c>
      <c r="H182" s="190">
        <f>((F124*(1-'5.Closing Stock &amp; W Capital'!$D$16))+(E124*'5.Closing Stock &amp; W Capital'!$D$16))*$C182*H$172</f>
        <v>0</v>
      </c>
      <c r="I182" s="190">
        <f>((G124*(1-'5.Closing Stock &amp; W Capital'!$D$16))+(F124*'5.Closing Stock &amp; W Capital'!$D$16))*$C182*I$172</f>
        <v>0</v>
      </c>
      <c r="J182" s="190">
        <f>((H124*(1-'5.Closing Stock &amp; W Capital'!$D$16))+(G124*'5.Closing Stock &amp; W Capital'!$D$16))*$C182*J$172</f>
        <v>0</v>
      </c>
      <c r="K182" s="94"/>
      <c r="L182" s="94"/>
    </row>
    <row r="183" spans="1:12">
      <c r="A183" s="95" t="str">
        <f t="shared" si="32"/>
        <v>Black Gram/Udid</v>
      </c>
      <c r="B183" s="95" t="s">
        <v>369</v>
      </c>
      <c r="C183" s="247">
        <v>6500</v>
      </c>
      <c r="D183" s="190">
        <f>(B125*(1-'5.Closing Stock &amp; W Capital'!$D$16))*$C183*D$172</f>
        <v>0</v>
      </c>
      <c r="E183" s="190">
        <f>((C125*(1-'5.Closing Stock &amp; W Capital'!$D$16))+(B125*'5.Closing Stock &amp; W Capital'!$D$16))*$C183*E$172</f>
        <v>0</v>
      </c>
      <c r="F183" s="190">
        <f>((D125*(1-'5.Closing Stock &amp; W Capital'!$D$16))+(C125*'5.Closing Stock &amp; W Capital'!$D$16))*$C183*F$172</f>
        <v>0</v>
      </c>
      <c r="G183" s="190">
        <f>((E125*(1-'5.Closing Stock &amp; W Capital'!$D$16))+(D125*'5.Closing Stock &amp; W Capital'!$D$16))*$C183*G$172</f>
        <v>0</v>
      </c>
      <c r="H183" s="190">
        <f>((F125*(1-'5.Closing Stock &amp; W Capital'!$D$16))+(E125*'5.Closing Stock &amp; W Capital'!$D$16))*$C183*H$172</f>
        <v>0</v>
      </c>
      <c r="I183" s="190">
        <f>((G125*(1-'5.Closing Stock &amp; W Capital'!$D$16))+(F125*'5.Closing Stock &amp; W Capital'!$D$16))*$C183*I$172</f>
        <v>0</v>
      </c>
      <c r="J183" s="190">
        <f>((H125*(1-'5.Closing Stock &amp; W Capital'!$D$16))+(G125*'5.Closing Stock &amp; W Capital'!$D$16))*$C183*J$172</f>
        <v>0</v>
      </c>
      <c r="K183" s="94"/>
      <c r="L183" s="94"/>
    </row>
    <row r="184" spans="1:12">
      <c r="A184" s="95" t="str">
        <f t="shared" si="32"/>
        <v>Bajra</v>
      </c>
      <c r="B184" s="95" t="s">
        <v>369</v>
      </c>
      <c r="C184" s="247">
        <v>2000</v>
      </c>
      <c r="D184" s="190">
        <f>(B126*(1-'5.Closing Stock &amp; W Capital'!$D$16))*$C184*D$172</f>
        <v>0</v>
      </c>
      <c r="E184" s="190">
        <f>((C126*(1-'5.Closing Stock &amp; W Capital'!$D$16))+(B126*'5.Closing Stock &amp; W Capital'!$D$16))*$C184*E$172</f>
        <v>0</v>
      </c>
      <c r="F184" s="190">
        <f>((D126*(1-'5.Closing Stock &amp; W Capital'!$D$16))+(C126*'5.Closing Stock &amp; W Capital'!$D$16))*$C184*F$172</f>
        <v>0</v>
      </c>
      <c r="G184" s="190">
        <f>((E126*(1-'5.Closing Stock &amp; W Capital'!$D$16))+(D126*'5.Closing Stock &amp; W Capital'!$D$16))*$C184*G$172</f>
        <v>0</v>
      </c>
      <c r="H184" s="190">
        <f>((F126*(1-'5.Closing Stock &amp; W Capital'!$D$16))+(E126*'5.Closing Stock &amp; W Capital'!$D$16))*$C184*H$172</f>
        <v>0</v>
      </c>
      <c r="I184" s="190">
        <f>((G126*(1-'5.Closing Stock &amp; W Capital'!$D$16))+(F126*'5.Closing Stock &amp; W Capital'!$D$16))*$C184*I$172</f>
        <v>0</v>
      </c>
      <c r="J184" s="190">
        <f>((H126*(1-'5.Closing Stock &amp; W Capital'!$D$16))+(G126*'5.Closing Stock &amp; W Capital'!$D$16))*$C184*J$172</f>
        <v>0</v>
      </c>
      <c r="K184" s="94"/>
      <c r="L184" s="94"/>
    </row>
    <row r="185" spans="1:12">
      <c r="A185" s="95" t="str">
        <f t="shared" si="32"/>
        <v>Jawar</v>
      </c>
      <c r="B185" s="95" t="s">
        <v>369</v>
      </c>
      <c r="C185" s="247"/>
      <c r="D185" s="190">
        <f>(B127*(1-'5.Closing Stock &amp; W Capital'!$D$16))*$C185*D$172</f>
        <v>0</v>
      </c>
      <c r="E185" s="190">
        <f>((C127*(1-'5.Closing Stock &amp; W Capital'!$D$16))+(B127*'5.Closing Stock &amp; W Capital'!$D$16))*$C185*E$172</f>
        <v>0</v>
      </c>
      <c r="F185" s="190">
        <f>((D127*(1-'5.Closing Stock &amp; W Capital'!$D$16))+(C127*'5.Closing Stock &amp; W Capital'!$D$16))*$C185*F$172</f>
        <v>0</v>
      </c>
      <c r="G185" s="190">
        <f>((E127*(1-'5.Closing Stock &amp; W Capital'!$D$16))+(D127*'5.Closing Stock &amp; W Capital'!$D$16))*$C185*G$172</f>
        <v>0</v>
      </c>
      <c r="H185" s="190">
        <f>((F127*(1-'5.Closing Stock &amp; W Capital'!$D$16))+(E127*'5.Closing Stock &amp; W Capital'!$D$16))*$C185*H$172</f>
        <v>0</v>
      </c>
      <c r="I185" s="190">
        <f>((G127*(1-'5.Closing Stock &amp; W Capital'!$D$16))+(F127*'5.Closing Stock &amp; W Capital'!$D$16))*$C185*I$172</f>
        <v>0</v>
      </c>
      <c r="J185" s="190">
        <f>((H127*(1-'5.Closing Stock &amp; W Capital'!$D$16))+(G127*'5.Closing Stock &amp; W Capital'!$D$16))*$C185*J$172</f>
        <v>0</v>
      </c>
      <c r="K185" s="94"/>
      <c r="L185" s="94"/>
    </row>
    <row r="186" spans="1:12">
      <c r="A186" s="95" t="str">
        <f t="shared" si="32"/>
        <v>Sunflower</v>
      </c>
      <c r="B186" s="95" t="s">
        <v>369</v>
      </c>
      <c r="C186" s="247"/>
      <c r="D186" s="190">
        <f>(B128*(1-'5.Closing Stock &amp; W Capital'!$D$16))*$C186*D$172</f>
        <v>0</v>
      </c>
      <c r="E186" s="190">
        <f>((C128*(1-'5.Closing Stock &amp; W Capital'!$D$16))+(B128*'5.Closing Stock &amp; W Capital'!$D$16))*$C186*E$172</f>
        <v>0</v>
      </c>
      <c r="F186" s="190">
        <f>((D128*(1-'5.Closing Stock &amp; W Capital'!$D$16))+(C128*'5.Closing Stock &amp; W Capital'!$D$16))*$C186*F$172</f>
        <v>0</v>
      </c>
      <c r="G186" s="190">
        <f>((E128*(1-'5.Closing Stock &amp; W Capital'!$D$16))+(D128*'5.Closing Stock &amp; W Capital'!$D$16))*$C186*G$172</f>
        <v>0</v>
      </c>
      <c r="H186" s="190">
        <f>((F128*(1-'5.Closing Stock &amp; W Capital'!$D$16))+(E128*'5.Closing Stock &amp; W Capital'!$D$16))*$C186*H$172</f>
        <v>0</v>
      </c>
      <c r="I186" s="190">
        <f>((G128*(1-'5.Closing Stock &amp; W Capital'!$D$16))+(F128*'5.Closing Stock &amp; W Capital'!$D$16))*$C186*I$172</f>
        <v>0</v>
      </c>
      <c r="J186" s="190">
        <f>((H128*(1-'5.Closing Stock &amp; W Capital'!$D$16))+(G128*'5.Closing Stock &amp; W Capital'!$D$16))*$C186*J$172</f>
        <v>0</v>
      </c>
      <c r="K186" s="94"/>
      <c r="L186" s="94"/>
    </row>
    <row r="187" spans="1:12">
      <c r="A187" s="95" t="str">
        <f t="shared" si="32"/>
        <v>Wheat</v>
      </c>
      <c r="B187" s="95" t="s">
        <v>369</v>
      </c>
      <c r="C187" s="247"/>
      <c r="D187" s="190">
        <f>(B129*(1-'5.Closing Stock &amp; W Capital'!$D$16))*$C187*D$172</f>
        <v>0</v>
      </c>
      <c r="E187" s="190">
        <f>((C129*(1-'5.Closing Stock &amp; W Capital'!$D$16))+(B129*'5.Closing Stock &amp; W Capital'!$D$16))*$C187*E$172</f>
        <v>0</v>
      </c>
      <c r="F187" s="190">
        <f>((D129*(1-'5.Closing Stock &amp; W Capital'!$D$16))+(C129*'5.Closing Stock &amp; W Capital'!$D$16))*$C187*F$172</f>
        <v>0</v>
      </c>
      <c r="G187" s="190">
        <f>((E129*(1-'5.Closing Stock &amp; W Capital'!$D$16))+(D129*'5.Closing Stock &amp; W Capital'!$D$16))*$C187*G$172</f>
        <v>0</v>
      </c>
      <c r="H187" s="190">
        <f>((F129*(1-'5.Closing Stock &amp; W Capital'!$D$16))+(E129*'5.Closing Stock &amp; W Capital'!$D$16))*$C187*H$172</f>
        <v>0</v>
      </c>
      <c r="I187" s="190">
        <f>((G129*(1-'5.Closing Stock &amp; W Capital'!$D$16))+(F129*'5.Closing Stock &amp; W Capital'!$D$16))*$C187*I$172</f>
        <v>0</v>
      </c>
      <c r="J187" s="190">
        <f>((H129*(1-'5.Closing Stock &amp; W Capital'!$D$16))+(G129*'5.Closing Stock &amp; W Capital'!$D$16))*$C187*J$172</f>
        <v>0</v>
      </c>
      <c r="K187" s="94"/>
      <c r="L187" s="94"/>
    </row>
    <row r="188" spans="1:12">
      <c r="A188" s="95" t="str">
        <f t="shared" si="32"/>
        <v>Bengal Gram/Channa</v>
      </c>
      <c r="B188" s="95" t="s">
        <v>369</v>
      </c>
      <c r="C188" s="247">
        <v>5300</v>
      </c>
      <c r="D188" s="190">
        <f>(B130*(1-'5.Closing Stock &amp; W Capital'!$D$16))*$C188*D$172</f>
        <v>3094470.7199999997</v>
      </c>
      <c r="E188" s="190">
        <f>((C130*(1-'5.Closing Stock &amp; W Capital'!$D$16))+(B130*'5.Closing Stock &amp; W Capital'!$D$16))*$C188*E$172</f>
        <v>3745123.9055999992</v>
      </c>
      <c r="F188" s="190">
        <f>((D130*(1-'5.Closing Stock &amp; W Capital'!$D$16))+(C130*'5.Closing Stock &amp; W Capital'!$D$16))*$C188*F$172</f>
        <v>4291501.5712799998</v>
      </c>
      <c r="G188" s="190">
        <f>((E130*(1-'5.Closing Stock &amp; W Capital'!$D$16))+(D130*'5.Closing Stock &amp; W Capital'!$D$16))*$C188*G$172</f>
        <v>4883154.1937640011</v>
      </c>
      <c r="H188" s="190">
        <f>((F130*(1-'5.Closing Stock &amp; W Capital'!$D$16))+(E130*'5.Closing Stock &amp; W Capital'!$D$16))*$C188*H$172</f>
        <v>5523243.3245682018</v>
      </c>
      <c r="I188" s="190">
        <f>((G130*(1-'5.Closing Stock &amp; W Capital'!$D$16))+(F130*'5.Closing Stock &amp; W Capital'!$D$16))*$C188*I$172</f>
        <v>6215133.4829684133</v>
      </c>
      <c r="J188" s="190">
        <f>((H130*(1-'5.Closing Stock &amp; W Capital'!$D$16))+(G130*'5.Closing Stock &amp; W Capital'!$D$16))*$C188*J$172</f>
        <v>6962404.5488972254</v>
      </c>
      <c r="K188" s="94"/>
      <c r="L188" s="94"/>
    </row>
    <row r="189" spans="1:12">
      <c r="A189" s="95" t="str">
        <f t="shared" si="32"/>
        <v>Jawar</v>
      </c>
      <c r="B189" s="95" t="s">
        <v>369</v>
      </c>
      <c r="C189" s="247"/>
      <c r="D189" s="190">
        <f>(B131*(1-'5.Closing Stock &amp; W Capital'!$D$16))*$C189*D$172</f>
        <v>0</v>
      </c>
      <c r="E189" s="190">
        <f>((C131*(1-'5.Closing Stock &amp; W Capital'!$D$16))+(B131*'5.Closing Stock &amp; W Capital'!$D$16))*$C189*E$172</f>
        <v>0</v>
      </c>
      <c r="F189" s="190">
        <f>((D131*(1-'5.Closing Stock &amp; W Capital'!$D$16))+(C131*'5.Closing Stock &amp; W Capital'!$D$16))*$C189*F$172</f>
        <v>0</v>
      </c>
      <c r="G189" s="190">
        <f>((E131*(1-'5.Closing Stock &amp; W Capital'!$D$16))+(D131*'5.Closing Stock &amp; W Capital'!$D$16))*$C189*G$172</f>
        <v>0</v>
      </c>
      <c r="H189" s="190">
        <f>((F131*(1-'5.Closing Stock &amp; W Capital'!$D$16))+(E131*'5.Closing Stock &amp; W Capital'!$D$16))*$C189*H$172</f>
        <v>0</v>
      </c>
      <c r="I189" s="190">
        <f>((G131*(1-'5.Closing Stock &amp; W Capital'!$D$16))+(F131*'5.Closing Stock &amp; W Capital'!$D$16))*$C189*I$172</f>
        <v>0</v>
      </c>
      <c r="J189" s="190">
        <f>((H131*(1-'5.Closing Stock &amp; W Capital'!$D$16))+(G131*'5.Closing Stock &amp; W Capital'!$D$16))*$C189*J$172</f>
        <v>0</v>
      </c>
      <c r="K189" s="94"/>
      <c r="L189" s="94"/>
    </row>
    <row r="190" spans="1:12">
      <c r="A190" s="95" t="str">
        <f t="shared" si="32"/>
        <v>Maize</v>
      </c>
      <c r="B190" s="95" t="s">
        <v>369</v>
      </c>
      <c r="C190" s="247"/>
      <c r="D190" s="190">
        <f>(B132*(1-'5.Closing Stock &amp; W Capital'!$D$16))*$C190*D$172</f>
        <v>0</v>
      </c>
      <c r="E190" s="190">
        <f>((C132*(1-'5.Closing Stock &amp; W Capital'!$D$16))+(B132*'5.Closing Stock &amp; W Capital'!$D$16))*$C190*E$172</f>
        <v>0</v>
      </c>
      <c r="F190" s="190">
        <f>((D132*(1-'5.Closing Stock &amp; W Capital'!$D$16))+(C132*'5.Closing Stock &amp; W Capital'!$D$16))*$C190*F$172</f>
        <v>0</v>
      </c>
      <c r="G190" s="190">
        <f>((E132*(1-'5.Closing Stock &amp; W Capital'!$D$16))+(D132*'5.Closing Stock &amp; W Capital'!$D$16))*$C190*G$172</f>
        <v>0</v>
      </c>
      <c r="H190" s="190">
        <f>((F132*(1-'5.Closing Stock &amp; W Capital'!$D$16))+(E132*'5.Closing Stock &amp; W Capital'!$D$16))*$C190*H$172</f>
        <v>0</v>
      </c>
      <c r="I190" s="190">
        <f>((G132*(1-'5.Closing Stock &amp; W Capital'!$D$16))+(F132*'5.Closing Stock &amp; W Capital'!$D$16))*$C190*I$172</f>
        <v>0</v>
      </c>
      <c r="J190" s="190">
        <f>((H132*(1-'5.Closing Stock &amp; W Capital'!$D$16))+(G132*'5.Closing Stock &amp; W Capital'!$D$16))*$C190*J$172</f>
        <v>0</v>
      </c>
      <c r="K190" s="94"/>
      <c r="L190" s="94"/>
    </row>
    <row r="191" spans="1:12">
      <c r="A191" s="95" t="str">
        <f t="shared" si="32"/>
        <v>Safflower</v>
      </c>
      <c r="B191" s="95" t="s">
        <v>369</v>
      </c>
      <c r="C191" s="247"/>
      <c r="D191" s="190">
        <f>(B133*(1-'5.Closing Stock &amp; W Capital'!$D$16))*$C191*D$172</f>
        <v>0</v>
      </c>
      <c r="E191" s="190">
        <f>((C133*(1-'5.Closing Stock &amp; W Capital'!$D$16))+(B133*'5.Closing Stock &amp; W Capital'!$D$16))*$C191*E$172</f>
        <v>0</v>
      </c>
      <c r="F191" s="190">
        <f>((D133*(1-'5.Closing Stock &amp; W Capital'!$D$16))+(C133*'5.Closing Stock &amp; W Capital'!$D$16))*$C191*F$172</f>
        <v>0</v>
      </c>
      <c r="G191" s="190">
        <f>((E133*(1-'5.Closing Stock &amp; W Capital'!$D$16))+(D133*'5.Closing Stock &amp; W Capital'!$D$16))*$C191*G$172</f>
        <v>0</v>
      </c>
      <c r="H191" s="190">
        <f>((F133*(1-'5.Closing Stock &amp; W Capital'!$D$16))+(E133*'5.Closing Stock &amp; W Capital'!$D$16))*$C191*H$172</f>
        <v>0</v>
      </c>
      <c r="I191" s="190">
        <f>((G133*(1-'5.Closing Stock &amp; W Capital'!$D$16))+(F133*'5.Closing Stock &amp; W Capital'!$D$16))*$C191*I$172</f>
        <v>0</v>
      </c>
      <c r="J191" s="190">
        <f>((H133*(1-'5.Closing Stock &amp; W Capital'!$D$16))+(G133*'5.Closing Stock &amp; W Capital'!$D$16))*$C191*J$172</f>
        <v>0</v>
      </c>
      <c r="K191" s="94"/>
      <c r="L191" s="94"/>
    </row>
    <row r="192" spans="1:12">
      <c r="A192" s="95">
        <f t="shared" si="32"/>
        <v>0</v>
      </c>
      <c r="B192" s="95" t="s">
        <v>369</v>
      </c>
      <c r="C192" s="247"/>
      <c r="D192" s="190">
        <f>(B134*(1-'5.Closing Stock &amp; W Capital'!$D$16))*$C192*D$172</f>
        <v>0</v>
      </c>
      <c r="E192" s="190">
        <f>((C134*(1-'5.Closing Stock &amp; W Capital'!$D$16))+(B134*'5.Closing Stock &amp; W Capital'!$D$16))*$C192*E$172</f>
        <v>0</v>
      </c>
      <c r="F192" s="190">
        <f>((D134*(1-'5.Closing Stock &amp; W Capital'!$D$16))+(C134*'5.Closing Stock &amp; W Capital'!$D$16))*$C192*F$172</f>
        <v>0</v>
      </c>
      <c r="G192" s="190">
        <f>((E134*(1-'5.Closing Stock &amp; W Capital'!$D$16))+(D134*'5.Closing Stock &amp; W Capital'!$D$16))*$C192*G$172</f>
        <v>0</v>
      </c>
      <c r="H192" s="190">
        <f>((F134*(1-'5.Closing Stock &amp; W Capital'!$D$16))+(E134*'5.Closing Stock &amp; W Capital'!$D$16))*$C192*H$172</f>
        <v>0</v>
      </c>
      <c r="I192" s="190">
        <f>((G134*(1-'5.Closing Stock &amp; W Capital'!$D$16))+(F134*'5.Closing Stock &amp; W Capital'!$D$16))*$C192*I$172</f>
        <v>0</v>
      </c>
      <c r="J192" s="190">
        <f>((H134*(1-'5.Closing Stock &amp; W Capital'!$D$16))+(G134*'5.Closing Stock &amp; W Capital'!$D$16))*$C192*J$172</f>
        <v>0</v>
      </c>
      <c r="K192" s="94"/>
      <c r="L192" s="94"/>
    </row>
    <row r="193" spans="1:12">
      <c r="A193" s="95">
        <f t="shared" si="32"/>
        <v>0</v>
      </c>
      <c r="B193" s="95" t="s">
        <v>369</v>
      </c>
      <c r="C193" s="247"/>
      <c r="D193" s="190">
        <f>(B135*(1-'5.Closing Stock &amp; W Capital'!$D$16))*$C193*D$172</f>
        <v>0</v>
      </c>
      <c r="E193" s="190">
        <f>((C135*(1-'5.Closing Stock &amp; W Capital'!$D$16))+(B135*'5.Closing Stock &amp; W Capital'!$D$16))*$C193*E$172</f>
        <v>0</v>
      </c>
      <c r="F193" s="190">
        <f>((D135*(1-'5.Closing Stock &amp; W Capital'!$D$16))+(C135*'5.Closing Stock &amp; W Capital'!$D$16))*$C193*F$172</f>
        <v>0</v>
      </c>
      <c r="G193" s="190">
        <f>((E135*(1-'5.Closing Stock &amp; W Capital'!$D$16))+(D135*'5.Closing Stock &amp; W Capital'!$D$16))*$C193*G$172</f>
        <v>0</v>
      </c>
      <c r="H193" s="190">
        <f>((F135*(1-'5.Closing Stock &amp; W Capital'!$D$16))+(E135*'5.Closing Stock &amp; W Capital'!$D$16))*$C193*H$172</f>
        <v>0</v>
      </c>
      <c r="I193" s="190">
        <f>((G135*(1-'5.Closing Stock &amp; W Capital'!$D$16))+(F135*'5.Closing Stock &amp; W Capital'!$D$16))*$C193*I$172</f>
        <v>0</v>
      </c>
      <c r="J193" s="190">
        <f>((H135*(1-'5.Closing Stock &amp; W Capital'!$D$16))+(G135*'5.Closing Stock &amp; W Capital'!$D$16))*$C193*J$172</f>
        <v>0</v>
      </c>
      <c r="K193" s="94"/>
      <c r="L193" s="94"/>
    </row>
    <row r="194" spans="1:12">
      <c r="A194" s="95">
        <f t="shared" si="32"/>
        <v>0</v>
      </c>
      <c r="B194" s="95" t="s">
        <v>369</v>
      </c>
      <c r="C194" s="247"/>
      <c r="D194" s="190">
        <f>(B136*(1-'5.Closing Stock &amp; W Capital'!$D$16))*$C194*D$172</f>
        <v>0</v>
      </c>
      <c r="E194" s="190">
        <f>((C136*(1-'5.Closing Stock &amp; W Capital'!$D$16))+(B136*'5.Closing Stock &amp; W Capital'!$D$16))*$C194*E$172</f>
        <v>0</v>
      </c>
      <c r="F194" s="190">
        <f>((D136*(1-'5.Closing Stock &amp; W Capital'!$D$16))+(C136*'5.Closing Stock &amp; W Capital'!$D$16))*$C194*F$172</f>
        <v>0</v>
      </c>
      <c r="G194" s="190">
        <f>((E136*(1-'5.Closing Stock &amp; W Capital'!$D$16))+(D136*'5.Closing Stock &amp; W Capital'!$D$16))*$C194*G$172</f>
        <v>0</v>
      </c>
      <c r="H194" s="190">
        <f>((F136*(1-'5.Closing Stock &amp; W Capital'!$D$16))+(E136*'5.Closing Stock &amp; W Capital'!$D$16))*$C194*H$172</f>
        <v>0</v>
      </c>
      <c r="I194" s="190">
        <f>((G136*(1-'5.Closing Stock &amp; W Capital'!$D$16))+(F136*'5.Closing Stock &amp; W Capital'!$D$16))*$C194*I$172</f>
        <v>0</v>
      </c>
      <c r="J194" s="190">
        <f>((H136*(1-'5.Closing Stock &amp; W Capital'!$D$16))+(G136*'5.Closing Stock &amp; W Capital'!$D$16))*$C194*J$172</f>
        <v>0</v>
      </c>
      <c r="K194" s="94"/>
      <c r="L194" s="94"/>
    </row>
    <row r="195" spans="1:12">
      <c r="A195" s="95" t="str">
        <f t="shared" si="32"/>
        <v>Groundnut</v>
      </c>
      <c r="B195" s="95" t="s">
        <v>369</v>
      </c>
      <c r="C195" s="247"/>
      <c r="D195" s="190">
        <f>(B137*(1-'5.Closing Stock &amp; W Capital'!$D$16))*$C195*D$172</f>
        <v>0</v>
      </c>
      <c r="E195" s="190">
        <f>((C137*(1-'5.Closing Stock &amp; W Capital'!$D$16))+(B137*'5.Closing Stock &amp; W Capital'!$D$16))*$C195*E$172</f>
        <v>0</v>
      </c>
      <c r="F195" s="190">
        <f>((D137*(1-'5.Closing Stock &amp; W Capital'!$D$16))+(C137*'5.Closing Stock &amp; W Capital'!$D$16))*$C195*F$172</f>
        <v>0</v>
      </c>
      <c r="G195" s="190">
        <f>((E137*(1-'5.Closing Stock &amp; W Capital'!$D$16))+(D137*'5.Closing Stock &amp; W Capital'!$D$16))*$C195*G$172</f>
        <v>0</v>
      </c>
      <c r="H195" s="190">
        <f>((F137*(1-'5.Closing Stock &amp; W Capital'!$D$16))+(E137*'5.Closing Stock &amp; W Capital'!$D$16))*$C195*H$172</f>
        <v>0</v>
      </c>
      <c r="I195" s="190">
        <f>((G137*(1-'5.Closing Stock &amp; W Capital'!$D$16))+(F137*'5.Closing Stock &amp; W Capital'!$D$16))*$C195*I$172</f>
        <v>0</v>
      </c>
      <c r="J195" s="190">
        <f>((H137*(1-'5.Closing Stock &amp; W Capital'!$D$16))+(G137*'5.Closing Stock &amp; W Capital'!$D$16))*$C195*J$172</f>
        <v>0</v>
      </c>
      <c r="K195" s="94"/>
      <c r="L195" s="94"/>
    </row>
    <row r="196" spans="1:12">
      <c r="A196" s="95">
        <f t="shared" si="32"/>
        <v>0</v>
      </c>
      <c r="B196" s="95" t="s">
        <v>369</v>
      </c>
      <c r="C196" s="247"/>
      <c r="D196" s="190">
        <f>(B138*(1-'5.Closing Stock &amp; W Capital'!$D$16))*$C196*D$172</f>
        <v>0</v>
      </c>
      <c r="E196" s="190">
        <f>((C138*(1-'5.Closing Stock &amp; W Capital'!$D$16))+(B138*'5.Closing Stock &amp; W Capital'!$D$16))*$C196*E$172</f>
        <v>0</v>
      </c>
      <c r="F196" s="190">
        <f>((D138*(1-'5.Closing Stock &amp; W Capital'!$D$16))+(C138*'5.Closing Stock &amp; W Capital'!$D$16))*$C196*F$172</f>
        <v>0</v>
      </c>
      <c r="G196" s="190">
        <f>((E138*(1-'5.Closing Stock &amp; W Capital'!$D$16))+(D138*'5.Closing Stock &amp; W Capital'!$D$16))*$C196*G$172</f>
        <v>0</v>
      </c>
      <c r="H196" s="190">
        <f>((F138*(1-'5.Closing Stock &amp; W Capital'!$D$16))+(E138*'5.Closing Stock &amp; W Capital'!$D$16))*$C196*H$172</f>
        <v>0</v>
      </c>
      <c r="I196" s="190">
        <f>((G138*(1-'5.Closing Stock &amp; W Capital'!$D$16))+(F138*'5.Closing Stock &amp; W Capital'!$D$16))*$C196*I$172</f>
        <v>0</v>
      </c>
      <c r="J196" s="190">
        <f>((H138*(1-'5.Closing Stock &amp; W Capital'!$D$16))+(G138*'5.Closing Stock &amp; W Capital'!$D$16))*$C196*J$172</f>
        <v>0</v>
      </c>
      <c r="K196" s="94"/>
      <c r="L196" s="94"/>
    </row>
    <row r="197" spans="1:12">
      <c r="A197" s="95">
        <f t="shared" si="32"/>
        <v>0</v>
      </c>
      <c r="B197" s="95" t="s">
        <v>369</v>
      </c>
      <c r="C197" s="247"/>
      <c r="D197" s="190">
        <f>(B139*(1-'5.Closing Stock &amp; W Capital'!$D$16))*$C197*D$172</f>
        <v>0</v>
      </c>
      <c r="E197" s="190">
        <f>((C139*(1-'5.Closing Stock &amp; W Capital'!$D$16))+(B139*'5.Closing Stock &amp; W Capital'!$D$16))*$C197*E$172</f>
        <v>0</v>
      </c>
      <c r="F197" s="190">
        <f>((D139*(1-'5.Closing Stock &amp; W Capital'!$D$16))+(C139*'5.Closing Stock &amp; W Capital'!$D$16))*$C197*F$172</f>
        <v>0</v>
      </c>
      <c r="G197" s="190">
        <f>((E139*(1-'5.Closing Stock &amp; W Capital'!$D$16))+(D139*'5.Closing Stock &amp; W Capital'!$D$16))*$C197*G$172</f>
        <v>0</v>
      </c>
      <c r="H197" s="190">
        <f>((F139*(1-'5.Closing Stock &amp; W Capital'!$D$16))+(E139*'5.Closing Stock &amp; W Capital'!$D$16))*$C197*H$172</f>
        <v>0</v>
      </c>
      <c r="I197" s="190">
        <f>((G139*(1-'5.Closing Stock &amp; W Capital'!$D$16))+(F139*'5.Closing Stock &amp; W Capital'!$D$16))*$C197*I$172</f>
        <v>0</v>
      </c>
      <c r="J197" s="190">
        <f>((H139*(1-'5.Closing Stock &amp; W Capital'!$D$16))+(G139*'5.Closing Stock &amp; W Capital'!$D$16))*$C197*J$172</f>
        <v>0</v>
      </c>
      <c r="K197" s="94"/>
      <c r="L197" s="94"/>
    </row>
    <row r="198" spans="1:12">
      <c r="A198" s="95">
        <f t="shared" si="32"/>
        <v>0</v>
      </c>
      <c r="B198" s="95" t="s">
        <v>369</v>
      </c>
      <c r="C198" s="247"/>
      <c r="D198" s="190">
        <f>(B140*(1-'5.Closing Stock &amp; W Capital'!$D$16))*$C198*D$172</f>
        <v>0</v>
      </c>
      <c r="E198" s="190">
        <f>((C140*(1-'5.Closing Stock &amp; W Capital'!$D$16))+(B140*'5.Closing Stock &amp; W Capital'!$D$16))*$C198*E$172</f>
        <v>0</v>
      </c>
      <c r="F198" s="190">
        <f>((D140*(1-'5.Closing Stock &amp; W Capital'!$D$16))+(C140*'5.Closing Stock &amp; W Capital'!$D$16))*$C198*F$172</f>
        <v>0</v>
      </c>
      <c r="G198" s="190">
        <f>((E140*(1-'5.Closing Stock &amp; W Capital'!$D$16))+(D140*'5.Closing Stock &amp; W Capital'!$D$16))*$C198*G$172</f>
        <v>0</v>
      </c>
      <c r="H198" s="190">
        <f>((F140*(1-'5.Closing Stock &amp; W Capital'!$D$16))+(E140*'5.Closing Stock &amp; W Capital'!$D$16))*$C198*H$172</f>
        <v>0</v>
      </c>
      <c r="I198" s="190">
        <f>((G140*(1-'5.Closing Stock &amp; W Capital'!$D$16))+(F140*'5.Closing Stock &amp; W Capital'!$D$16))*$C198*I$172</f>
        <v>0</v>
      </c>
      <c r="J198" s="190">
        <f>((H140*(1-'5.Closing Stock &amp; W Capital'!$D$16))+(G140*'5.Closing Stock &amp; W Capital'!$D$16))*$C198*J$172</f>
        <v>0</v>
      </c>
      <c r="K198" s="94"/>
      <c r="L198" s="94"/>
    </row>
    <row r="199" spans="1:12">
      <c r="A199" s="95"/>
      <c r="B199" s="95" t="s">
        <v>369</v>
      </c>
      <c r="C199" s="247"/>
      <c r="D199" s="190">
        <f>(B141*(1-'5.Closing Stock &amp; W Capital'!$D$16))*$C199*D$172</f>
        <v>0</v>
      </c>
      <c r="E199" s="190">
        <f>((C141*(1-'5.Closing Stock &amp; W Capital'!$D$16))+(B141*'5.Closing Stock &amp; W Capital'!$D$16))*$C199*E$172</f>
        <v>0</v>
      </c>
      <c r="F199" s="190">
        <f>((D141*(1-'5.Closing Stock &amp; W Capital'!$D$16))+(C141*'5.Closing Stock &amp; W Capital'!$D$16))*$C199*F$172</f>
        <v>0</v>
      </c>
      <c r="G199" s="190">
        <f>((E141*(1-'5.Closing Stock &amp; W Capital'!$D$16))+(D141*'5.Closing Stock &amp; W Capital'!$D$16))*$C199*G$172</f>
        <v>0</v>
      </c>
      <c r="H199" s="190">
        <f>((F141*(1-'5.Closing Stock &amp; W Capital'!$D$16))+(E141*'5.Closing Stock &amp; W Capital'!$D$16))*$C199*H$172</f>
        <v>0</v>
      </c>
      <c r="I199" s="190">
        <f>((G141*(1-'5.Closing Stock &amp; W Capital'!$D$16))+(F141*'5.Closing Stock &amp; W Capital'!$D$16))*$C199*I$172</f>
        <v>0</v>
      </c>
      <c r="J199" s="190">
        <f>((H141*(1-'5.Closing Stock &amp; W Capital'!$D$16))+(G141*'5.Closing Stock &amp; W Capital'!$D$16))*$C199*J$172</f>
        <v>0</v>
      </c>
      <c r="K199" s="94"/>
      <c r="L199" s="94"/>
    </row>
    <row r="200" spans="1:12">
      <c r="A200" s="97" t="s">
        <v>297</v>
      </c>
      <c r="B200" s="95" t="s">
        <v>369</v>
      </c>
      <c r="C200" s="228">
        <v>60</v>
      </c>
      <c r="D200" s="190">
        <f t="shared" ref="D200:J200" si="33">B65*$C$200*D172</f>
        <v>294624.00000000006</v>
      </c>
      <c r="E200" s="190">
        <f t="shared" si="33"/>
        <v>340290.72000000003</v>
      </c>
      <c r="F200" s="190">
        <f t="shared" si="33"/>
        <v>389787.55200000014</v>
      </c>
      <c r="G200" s="190">
        <f t="shared" si="33"/>
        <v>443383.3404000001</v>
      </c>
      <c r="H200" s="190">
        <f t="shared" si="33"/>
        <v>501364.23876000021</v>
      </c>
      <c r="I200" s="190">
        <f t="shared" si="33"/>
        <v>564034.76860500034</v>
      </c>
      <c r="J200" s="190">
        <f t="shared" si="33"/>
        <v>631718.9408376005</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369</v>
      </c>
      <c r="C203" s="332">
        <v>2000</v>
      </c>
      <c r="D203" s="190">
        <f>(B144*(1-'5.Closing Stock &amp; W Capital'!$D$16))*$C203*D$172</f>
        <v>0</v>
      </c>
      <c r="E203" s="190">
        <f>((C144*(1-'5.Closing Stock &amp; W Capital'!$D$16))+(B144*'5.Closing Stock &amp; W Capital'!$D$16))*$C203*E$172</f>
        <v>0</v>
      </c>
      <c r="F203" s="190">
        <f>((D144*(1-'5.Closing Stock &amp; W Capital'!$D$16))+(C144*'5.Closing Stock &amp; W Capital'!$D$16))*$C203*F$172</f>
        <v>0</v>
      </c>
      <c r="G203" s="190">
        <f>((E144*(1-'5.Closing Stock &amp; W Capital'!$D$16))+(D144*'5.Closing Stock &amp; W Capital'!$D$16))*$C203*G$172</f>
        <v>0</v>
      </c>
      <c r="H203" s="190">
        <f>((F144*(1-'5.Closing Stock &amp; W Capital'!$D$16))+(E144*'5.Closing Stock &amp; W Capital'!$D$16))*$C203*H$172</f>
        <v>0</v>
      </c>
      <c r="I203" s="190">
        <f>((G144*(1-'5.Closing Stock &amp; W Capital'!$D$16))+(F144*'5.Closing Stock &amp; W Capital'!$D$16))*$C203*I$172</f>
        <v>0</v>
      </c>
      <c r="J203" s="190">
        <f>((H144*(1-'5.Closing Stock &amp; W Capital'!$D$16))+(G144*'5.Closing Stock &amp; W Capital'!$D$16))*$C203*J$172</f>
        <v>0</v>
      </c>
      <c r="K203" s="94"/>
      <c r="L203" s="94"/>
    </row>
    <row r="204" spans="1:12">
      <c r="A204" s="97" t="str">
        <f t="shared" si="34"/>
        <v>Tomato</v>
      </c>
      <c r="B204" s="95" t="s">
        <v>369</v>
      </c>
      <c r="C204" s="247">
        <v>1000</v>
      </c>
      <c r="D204" s="190">
        <f>(B145*(1-'5.Closing Stock &amp; W Capital'!$D$16))*$C204*D$172</f>
        <v>0</v>
      </c>
      <c r="E204" s="190">
        <f>((C145*(1-'5.Closing Stock &amp; W Capital'!$D$16))+(B145*'5.Closing Stock &amp; W Capital'!$D$16))*$C204*E$172</f>
        <v>0</v>
      </c>
      <c r="F204" s="190">
        <f>((D145*(1-'5.Closing Stock &amp; W Capital'!$D$16))+(C145*'5.Closing Stock &amp; W Capital'!$D$16))*$C204*F$172</f>
        <v>0</v>
      </c>
      <c r="G204" s="190">
        <f>((E145*(1-'5.Closing Stock &amp; W Capital'!$D$16))+(D145*'5.Closing Stock &amp; W Capital'!$D$16))*$C204*G$172</f>
        <v>0</v>
      </c>
      <c r="H204" s="190">
        <f>((F145*(1-'5.Closing Stock &amp; W Capital'!$D$16))+(E145*'5.Closing Stock &amp; W Capital'!$D$16))*$C204*H$172</f>
        <v>0</v>
      </c>
      <c r="I204" s="190">
        <f>((G145*(1-'5.Closing Stock &amp; W Capital'!$D$16))+(F145*'5.Closing Stock &amp; W Capital'!$D$16))*$C204*I$172</f>
        <v>0</v>
      </c>
      <c r="J204" s="190">
        <f>((H145*(1-'5.Closing Stock &amp; W Capital'!$D$16))+(G145*'5.Closing Stock &amp; W Capital'!$D$16))*$C204*J$172</f>
        <v>0</v>
      </c>
      <c r="K204" s="94"/>
      <c r="L204" s="94"/>
    </row>
    <row r="205" spans="1:12">
      <c r="A205" s="97" t="str">
        <f t="shared" si="34"/>
        <v>Okra</v>
      </c>
      <c r="B205" s="95" t="s">
        <v>369</v>
      </c>
      <c r="C205" s="247">
        <v>1500</v>
      </c>
      <c r="D205" s="190">
        <f>(B146*(1-'5.Closing Stock &amp; W Capital'!$D$16))*$C205*D$172</f>
        <v>0</v>
      </c>
      <c r="E205" s="190">
        <f>((C146*(1-'5.Closing Stock &amp; W Capital'!$D$16))+(B146*'5.Closing Stock &amp; W Capital'!$D$16))*$C205*E$172</f>
        <v>0</v>
      </c>
      <c r="F205" s="190">
        <f>((D146*(1-'5.Closing Stock &amp; W Capital'!$D$16))+(C146*'5.Closing Stock &amp; W Capital'!$D$16))*$C205*F$172</f>
        <v>0</v>
      </c>
      <c r="G205" s="190">
        <f>((E146*(1-'5.Closing Stock &amp; W Capital'!$D$16))+(D146*'5.Closing Stock &amp; W Capital'!$D$16))*$C205*G$172</f>
        <v>0</v>
      </c>
      <c r="H205" s="190">
        <f>((F146*(1-'5.Closing Stock &amp; W Capital'!$D$16))+(E146*'5.Closing Stock &amp; W Capital'!$D$16))*$C205*H$172</f>
        <v>0</v>
      </c>
      <c r="I205" s="190">
        <f>((G146*(1-'5.Closing Stock &amp; W Capital'!$D$16))+(F146*'5.Closing Stock &amp; W Capital'!$D$16))*$C205*I$172</f>
        <v>0</v>
      </c>
      <c r="J205" s="190">
        <f>((H146*(1-'5.Closing Stock &amp; W Capital'!$D$16))+(G146*'5.Closing Stock &amp; W Capital'!$D$16))*$C205*J$172</f>
        <v>0</v>
      </c>
      <c r="K205" s="94"/>
      <c r="L205" s="94"/>
    </row>
    <row r="206" spans="1:12">
      <c r="A206" s="97" t="str">
        <f t="shared" si="34"/>
        <v>Chilli</v>
      </c>
      <c r="B206" s="95" t="s">
        <v>369</v>
      </c>
      <c r="C206" s="247">
        <v>3000</v>
      </c>
      <c r="D206" s="190">
        <f>(B147*(1-'5.Closing Stock &amp; W Capital'!$D$16))*$C206*D$172</f>
        <v>0</v>
      </c>
      <c r="E206" s="190">
        <f>((C147*(1-'5.Closing Stock &amp; W Capital'!$D$16))+(B147*'5.Closing Stock &amp; W Capital'!$D$16))*$C206*E$172</f>
        <v>0</v>
      </c>
      <c r="F206" s="190">
        <f>((D147*(1-'5.Closing Stock &amp; W Capital'!$D$16))+(C147*'5.Closing Stock &amp; W Capital'!$D$16))*$C206*F$172</f>
        <v>0</v>
      </c>
      <c r="G206" s="190">
        <f>((E147*(1-'5.Closing Stock &amp; W Capital'!$D$16))+(D147*'5.Closing Stock &amp; W Capital'!$D$16))*$C206*G$172</f>
        <v>0</v>
      </c>
      <c r="H206" s="190">
        <f>((F147*(1-'5.Closing Stock &amp; W Capital'!$D$16))+(E147*'5.Closing Stock &amp; W Capital'!$D$16))*$C206*H$172</f>
        <v>0</v>
      </c>
      <c r="I206" s="190">
        <f>((G147*(1-'5.Closing Stock &amp; W Capital'!$D$16))+(F147*'5.Closing Stock &amp; W Capital'!$D$16))*$C206*I$172</f>
        <v>0</v>
      </c>
      <c r="J206" s="190">
        <f>((H147*(1-'5.Closing Stock &amp; W Capital'!$D$16))+(G147*'5.Closing Stock &amp; W Capital'!$D$16))*$C206*J$172</f>
        <v>0</v>
      </c>
      <c r="K206" s="94"/>
      <c r="L206" s="94"/>
    </row>
    <row r="207" spans="1:12">
      <c r="A207" s="97" t="str">
        <f t="shared" si="34"/>
        <v>Potato</v>
      </c>
      <c r="B207" s="95" t="s">
        <v>369</v>
      </c>
      <c r="C207" s="247">
        <v>1500</v>
      </c>
      <c r="D207" s="190">
        <f>(B148*(1-'5.Closing Stock &amp; W Capital'!$D$16))*$C207*D$172</f>
        <v>0</v>
      </c>
      <c r="E207" s="190">
        <f>((C148*(1-'5.Closing Stock &amp; W Capital'!$D$16))+(B148*'5.Closing Stock &amp; W Capital'!$D$16))*$C207*E$172</f>
        <v>0</v>
      </c>
      <c r="F207" s="190">
        <f>((D148*(1-'5.Closing Stock &amp; W Capital'!$D$16))+(C148*'5.Closing Stock &amp; W Capital'!$D$16))*$C207*F$172</f>
        <v>0</v>
      </c>
      <c r="G207" s="190">
        <f>((E148*(1-'5.Closing Stock &amp; W Capital'!$D$16))+(D148*'5.Closing Stock &amp; W Capital'!$D$16))*$C207*G$172</f>
        <v>0</v>
      </c>
      <c r="H207" s="190">
        <f>((F148*(1-'5.Closing Stock &amp; W Capital'!$D$16))+(E148*'5.Closing Stock &amp; W Capital'!$D$16))*$C207*H$172</f>
        <v>0</v>
      </c>
      <c r="I207" s="190">
        <f>((G148*(1-'5.Closing Stock &amp; W Capital'!$D$16))+(F148*'5.Closing Stock &amp; W Capital'!$D$16))*$C207*I$172</f>
        <v>0</v>
      </c>
      <c r="J207" s="190">
        <f>((H148*(1-'5.Closing Stock &amp; W Capital'!$D$16))+(G148*'5.Closing Stock &amp; W Capital'!$D$16))*$C207*J$172</f>
        <v>0</v>
      </c>
      <c r="K207" s="94"/>
      <c r="L207" s="94"/>
    </row>
    <row r="208" spans="1:12">
      <c r="A208" s="97">
        <f t="shared" si="34"/>
        <v>0</v>
      </c>
      <c r="B208" s="95" t="s">
        <v>369</v>
      </c>
      <c r="C208" s="228"/>
      <c r="D208" s="190">
        <f>(B149*(1-'5.Closing Stock &amp; W Capital'!$D$16))*$C208*D$172</f>
        <v>0</v>
      </c>
      <c r="E208" s="190">
        <f>((C149*(1-'5.Closing Stock &amp; W Capital'!$D$16))+(B149*'5.Closing Stock &amp; W Capital'!$D$16))*$C208*E$172</f>
        <v>0</v>
      </c>
      <c r="F208" s="190">
        <f>((D149*(1-'5.Closing Stock &amp; W Capital'!$D$16))+(C149*'5.Closing Stock &amp; W Capital'!$D$16))*$C208*F$172</f>
        <v>0</v>
      </c>
      <c r="G208" s="190">
        <f>((E149*(1-'5.Closing Stock &amp; W Capital'!$D$16))+(D149*'5.Closing Stock &amp; W Capital'!$D$16))*$C208*G$172</f>
        <v>0</v>
      </c>
      <c r="H208" s="190">
        <f>((F149*(1-'5.Closing Stock &amp; W Capital'!$D$16))+(E149*'5.Closing Stock &amp; W Capital'!$D$16))*$C208*H$172</f>
        <v>0</v>
      </c>
      <c r="I208" s="190">
        <f>((G149*(1-'5.Closing Stock &amp; W Capital'!$D$16))+(F149*'5.Closing Stock &amp; W Capital'!$D$16))*$C208*I$172</f>
        <v>0</v>
      </c>
      <c r="J208" s="190">
        <f>((H149*(1-'5.Closing Stock &amp; W Capital'!$D$16))+(G149*'5.Closing Stock &amp; W Capital'!$D$16))*$C208*J$172</f>
        <v>0</v>
      </c>
      <c r="K208" s="94"/>
      <c r="L208" s="94"/>
    </row>
    <row r="209" spans="1:12">
      <c r="A209" s="97">
        <f t="shared" si="34"/>
        <v>0</v>
      </c>
      <c r="B209" s="95" t="s">
        <v>369</v>
      </c>
      <c r="C209" s="228"/>
      <c r="D209" s="190">
        <f>(B150*(1-'5.Closing Stock &amp; W Capital'!$D$16))*$C209*D$172</f>
        <v>0</v>
      </c>
      <c r="E209" s="190">
        <f>((C150*(1-'5.Closing Stock &amp; W Capital'!$D$16))+(B150*'5.Closing Stock &amp; W Capital'!$D$16))*$C209*E$172</f>
        <v>0</v>
      </c>
      <c r="F209" s="190">
        <f>((D150*(1-'5.Closing Stock &amp; W Capital'!$D$16))+(C150*'5.Closing Stock &amp; W Capital'!$D$16))*$C209*F$172</f>
        <v>0</v>
      </c>
      <c r="G209" s="190">
        <f>((E150*(1-'5.Closing Stock &amp; W Capital'!$D$16))+(D150*'5.Closing Stock &amp; W Capital'!$D$16))*$C209*G$172</f>
        <v>0</v>
      </c>
      <c r="H209" s="190">
        <f>((F150*(1-'5.Closing Stock &amp; W Capital'!$D$16))+(E150*'5.Closing Stock &amp; W Capital'!$D$16))*$C209*H$172</f>
        <v>0</v>
      </c>
      <c r="I209" s="190">
        <f>((G150*(1-'5.Closing Stock &amp; W Capital'!$D$16))+(F150*'5.Closing Stock &amp; W Capital'!$D$16))*$C209*I$172</f>
        <v>0</v>
      </c>
      <c r="J209" s="190">
        <f>((H150*(1-'5.Closing Stock &amp; W Capital'!$D$16))+(G150*'5.Closing Stock &amp; W Capital'!$D$16))*$C209*J$172</f>
        <v>0</v>
      </c>
      <c r="K209" s="94"/>
      <c r="L209" s="94"/>
    </row>
    <row r="210" spans="1:12">
      <c r="A210" s="97">
        <f t="shared" si="34"/>
        <v>0</v>
      </c>
      <c r="B210" s="95" t="s">
        <v>369</v>
      </c>
      <c r="C210" s="228"/>
      <c r="D210" s="190">
        <f>(B151*(1-'5.Closing Stock &amp; W Capital'!$D$16))*$C210*D$172</f>
        <v>0</v>
      </c>
      <c r="E210" s="190">
        <f>((C151*(1-'5.Closing Stock &amp; W Capital'!$D$16))+(B151*'5.Closing Stock &amp; W Capital'!$D$16))*$C210*E$172</f>
        <v>0</v>
      </c>
      <c r="F210" s="190">
        <f>((D151*(1-'5.Closing Stock &amp; W Capital'!$D$16))+(C151*'5.Closing Stock &amp; W Capital'!$D$16))*$C210*F$172</f>
        <v>0</v>
      </c>
      <c r="G210" s="190">
        <f>((E151*(1-'5.Closing Stock &amp; W Capital'!$D$16))+(D151*'5.Closing Stock &amp; W Capital'!$D$16))*$C210*G$172</f>
        <v>0</v>
      </c>
      <c r="H210" s="190">
        <f>((F151*(1-'5.Closing Stock &amp; W Capital'!$D$16))+(E151*'5.Closing Stock &amp; W Capital'!$D$16))*$C210*H$172</f>
        <v>0</v>
      </c>
      <c r="I210" s="190">
        <f>((G151*(1-'5.Closing Stock &amp; W Capital'!$D$16))+(F151*'5.Closing Stock &amp; W Capital'!$D$16))*$C210*I$172</f>
        <v>0</v>
      </c>
      <c r="J210" s="190">
        <f>((H151*(1-'5.Closing Stock &amp; W Capital'!$D$16))+(G151*'5.Closing Stock &amp; W Capital'!$D$16))*$C210*J$172</f>
        <v>0</v>
      </c>
      <c r="K210" s="94"/>
      <c r="L210" s="94"/>
    </row>
    <row r="211" spans="1:12">
      <c r="A211" s="97">
        <f t="shared" si="34"/>
        <v>0</v>
      </c>
      <c r="B211" s="95" t="s">
        <v>369</v>
      </c>
      <c r="C211" s="228"/>
      <c r="D211" s="190">
        <f>(B152*(1-'5.Closing Stock &amp; W Capital'!$D$16))*$C211*D$172</f>
        <v>0</v>
      </c>
      <c r="E211" s="190">
        <f>((C152*(1-'5.Closing Stock &amp; W Capital'!$D$16))+(B152*'5.Closing Stock &amp; W Capital'!$D$16))*$C211*E$172</f>
        <v>0</v>
      </c>
      <c r="F211" s="190">
        <f>((D152*(1-'5.Closing Stock &amp; W Capital'!$D$16))+(C152*'5.Closing Stock &amp; W Capital'!$D$16))*$C211*F$172</f>
        <v>0</v>
      </c>
      <c r="G211" s="190">
        <f>((E152*(1-'5.Closing Stock &amp; W Capital'!$D$16))+(D152*'5.Closing Stock &amp; W Capital'!$D$16))*$C211*G$172</f>
        <v>0</v>
      </c>
      <c r="H211" s="190">
        <f>((F152*(1-'5.Closing Stock &amp; W Capital'!$D$16))+(E152*'5.Closing Stock &amp; W Capital'!$D$16))*$C211*H$172</f>
        <v>0</v>
      </c>
      <c r="I211" s="190">
        <f>((G152*(1-'5.Closing Stock &amp; W Capital'!$D$16))+(F152*'5.Closing Stock &amp; W Capital'!$D$16))*$C211*I$172</f>
        <v>0</v>
      </c>
      <c r="J211" s="190">
        <f>((H152*(1-'5.Closing Stock &amp; W Capital'!$D$16))+(G152*'5.Closing Stock &amp; W Capital'!$D$16))*$C211*J$172</f>
        <v>0</v>
      </c>
      <c r="K211" s="94"/>
      <c r="L211" s="94"/>
    </row>
    <row r="212" spans="1:12">
      <c r="A212" s="97" t="str">
        <f t="shared" si="34"/>
        <v>Onion</v>
      </c>
      <c r="B212" s="95" t="s">
        <v>369</v>
      </c>
      <c r="C212" s="247">
        <v>2000</v>
      </c>
      <c r="D212" s="190">
        <f>(B153*(1-'5.Closing Stock &amp; W Capital'!$D$16))*$C212*D$172</f>
        <v>0</v>
      </c>
      <c r="E212" s="190">
        <f>((C153*(1-'5.Closing Stock &amp; W Capital'!$D$16))+(B153*'5.Closing Stock &amp; W Capital'!$D$16))*$C212*E$172</f>
        <v>0</v>
      </c>
      <c r="F212" s="190">
        <f>((D153*(1-'5.Closing Stock &amp; W Capital'!$D$16))+(C153*'5.Closing Stock &amp; W Capital'!$D$16))*$C212*F$172</f>
        <v>0</v>
      </c>
      <c r="G212" s="190">
        <f>((E153*(1-'5.Closing Stock &amp; W Capital'!$D$16))+(D153*'5.Closing Stock &amp; W Capital'!$D$16))*$C212*G$172</f>
        <v>0</v>
      </c>
      <c r="H212" s="190">
        <f>((F153*(1-'5.Closing Stock &amp; W Capital'!$D$16))+(E153*'5.Closing Stock &amp; W Capital'!$D$16))*$C212*H$172</f>
        <v>0</v>
      </c>
      <c r="I212" s="190">
        <f>((G153*(1-'5.Closing Stock &amp; W Capital'!$D$16))+(F153*'5.Closing Stock &amp; W Capital'!$D$16))*$C212*I$172</f>
        <v>0</v>
      </c>
      <c r="J212" s="190">
        <f>((H153*(1-'5.Closing Stock &amp; W Capital'!$D$16))+(G153*'5.Closing Stock &amp; W Capital'!$D$16))*$C212*J$172</f>
        <v>0</v>
      </c>
      <c r="K212" s="94"/>
      <c r="L212" s="94"/>
    </row>
    <row r="213" spans="1:12">
      <c r="A213" s="97" t="str">
        <f t="shared" si="34"/>
        <v>Tomato</v>
      </c>
      <c r="B213" s="95" t="s">
        <v>369</v>
      </c>
      <c r="C213" s="247">
        <v>1000</v>
      </c>
      <c r="D213" s="190">
        <f>(B154*(1-'5.Closing Stock &amp; W Capital'!$D$16))*$C213*D$172</f>
        <v>0</v>
      </c>
      <c r="E213" s="190">
        <f>((C154*(1-'5.Closing Stock &amp; W Capital'!$D$16))+(B154*'5.Closing Stock &amp; W Capital'!$D$16))*$C213*E$172</f>
        <v>0</v>
      </c>
      <c r="F213" s="190">
        <f>((D154*(1-'5.Closing Stock &amp; W Capital'!$D$16))+(C154*'5.Closing Stock &amp; W Capital'!$D$16))*$C213*F$172</f>
        <v>0</v>
      </c>
      <c r="G213" s="190">
        <f>((E154*(1-'5.Closing Stock &amp; W Capital'!$D$16))+(D154*'5.Closing Stock &amp; W Capital'!$D$16))*$C213*G$172</f>
        <v>0</v>
      </c>
      <c r="H213" s="190">
        <f>((F154*(1-'5.Closing Stock &amp; W Capital'!$D$16))+(E154*'5.Closing Stock &amp; W Capital'!$D$16))*$C213*H$172</f>
        <v>0</v>
      </c>
      <c r="I213" s="190">
        <f>((G154*(1-'5.Closing Stock &amp; W Capital'!$D$16))+(F154*'5.Closing Stock &amp; W Capital'!$D$16))*$C213*I$172</f>
        <v>0</v>
      </c>
      <c r="J213" s="190">
        <f>((H154*(1-'5.Closing Stock &amp; W Capital'!$D$16))+(G154*'5.Closing Stock &amp; W Capital'!$D$16))*$C213*J$172</f>
        <v>0</v>
      </c>
      <c r="K213" s="94"/>
      <c r="L213" s="94"/>
    </row>
    <row r="214" spans="1:12">
      <c r="A214" s="97" t="str">
        <f t="shared" si="34"/>
        <v>Okra</v>
      </c>
      <c r="B214" s="95" t="s">
        <v>369</v>
      </c>
      <c r="C214" s="247">
        <v>1500</v>
      </c>
      <c r="D214" s="190">
        <f>(B155*(1-'5.Closing Stock &amp; W Capital'!$D$16))*$C214*D$172</f>
        <v>0</v>
      </c>
      <c r="E214" s="190">
        <f>((C155*(1-'5.Closing Stock &amp; W Capital'!$D$16))+(B155*'5.Closing Stock &amp; W Capital'!$D$16))*$C214*E$172</f>
        <v>0</v>
      </c>
      <c r="F214" s="190">
        <f>((D155*(1-'5.Closing Stock &amp; W Capital'!$D$16))+(C155*'5.Closing Stock &amp; W Capital'!$D$16))*$C214*F$172</f>
        <v>0</v>
      </c>
      <c r="G214" s="190">
        <f>((E155*(1-'5.Closing Stock &amp; W Capital'!$D$16))+(D155*'5.Closing Stock &amp; W Capital'!$D$16))*$C214*G$172</f>
        <v>0</v>
      </c>
      <c r="H214" s="190">
        <f>((F155*(1-'5.Closing Stock &amp; W Capital'!$D$16))+(E155*'5.Closing Stock &amp; W Capital'!$D$16))*$C214*H$172</f>
        <v>0</v>
      </c>
      <c r="I214" s="190">
        <f>((G155*(1-'5.Closing Stock &amp; W Capital'!$D$16))+(F155*'5.Closing Stock &amp; W Capital'!$D$16))*$C214*I$172</f>
        <v>0</v>
      </c>
      <c r="J214" s="190">
        <f>((H155*(1-'5.Closing Stock &amp; W Capital'!$D$16))+(G155*'5.Closing Stock &amp; W Capital'!$D$16))*$C214*J$172</f>
        <v>0</v>
      </c>
      <c r="K214" s="94"/>
      <c r="L214" s="94"/>
    </row>
    <row r="215" spans="1:12">
      <c r="A215" s="97" t="str">
        <f t="shared" si="34"/>
        <v>Chilli</v>
      </c>
      <c r="B215" s="95" t="s">
        <v>369</v>
      </c>
      <c r="C215" s="247">
        <v>3000</v>
      </c>
      <c r="D215" s="190">
        <f>(B156*(1-'5.Closing Stock &amp; W Capital'!$D$16))*$C215*D$172</f>
        <v>0</v>
      </c>
      <c r="E215" s="190">
        <f>((C156*(1-'5.Closing Stock &amp; W Capital'!$D$16))+(B156*'5.Closing Stock &amp; W Capital'!$D$16))*$C215*E$172</f>
        <v>0</v>
      </c>
      <c r="F215" s="190">
        <f>((D156*(1-'5.Closing Stock &amp; W Capital'!$D$16))+(C156*'5.Closing Stock &amp; W Capital'!$D$16))*$C215*F$172</f>
        <v>0</v>
      </c>
      <c r="G215" s="190">
        <f>((E156*(1-'5.Closing Stock &amp; W Capital'!$D$16))+(D156*'5.Closing Stock &amp; W Capital'!$D$16))*$C215*G$172</f>
        <v>0</v>
      </c>
      <c r="H215" s="190">
        <f>((F156*(1-'5.Closing Stock &amp; W Capital'!$D$16))+(E156*'5.Closing Stock &amp; W Capital'!$D$16))*$C215*H$172</f>
        <v>0</v>
      </c>
      <c r="I215" s="190">
        <f>((G156*(1-'5.Closing Stock &amp; W Capital'!$D$16))+(F156*'5.Closing Stock &amp; W Capital'!$D$16))*$C215*I$172</f>
        <v>0</v>
      </c>
      <c r="J215" s="190">
        <f>((H156*(1-'5.Closing Stock &amp; W Capital'!$D$16))+(G156*'5.Closing Stock &amp; W Capital'!$D$16))*$C215*J$172</f>
        <v>0</v>
      </c>
      <c r="K215" s="94"/>
      <c r="L215" s="94"/>
    </row>
    <row r="216" spans="1:12">
      <c r="A216" s="97" t="str">
        <f t="shared" si="34"/>
        <v>Brinjal</v>
      </c>
      <c r="B216" s="95" t="s">
        <v>369</v>
      </c>
      <c r="C216" s="247">
        <v>2000</v>
      </c>
      <c r="D216" s="190">
        <f>(B157*(1-'5.Closing Stock &amp; W Capital'!$D$16))*$C216*D$172</f>
        <v>0</v>
      </c>
      <c r="E216" s="190">
        <f>((C157*(1-'5.Closing Stock &amp; W Capital'!$D$16))+(B157*'5.Closing Stock &amp; W Capital'!$D$16))*$C216*E$172</f>
        <v>0</v>
      </c>
      <c r="F216" s="190">
        <f>((D157*(1-'5.Closing Stock &amp; W Capital'!$D$16))+(C157*'5.Closing Stock &amp; W Capital'!$D$16))*$C216*F$172</f>
        <v>0</v>
      </c>
      <c r="G216" s="190">
        <f>((E157*(1-'5.Closing Stock &amp; W Capital'!$D$16))+(D157*'5.Closing Stock &amp; W Capital'!$D$16))*$C216*G$172</f>
        <v>0</v>
      </c>
      <c r="H216" s="190">
        <f>((F157*(1-'5.Closing Stock &amp; W Capital'!$D$16))+(E157*'5.Closing Stock &amp; W Capital'!$D$16))*$C216*H$172</f>
        <v>0</v>
      </c>
      <c r="I216" s="190">
        <f>((G157*(1-'5.Closing Stock &amp; W Capital'!$D$16))+(F157*'5.Closing Stock &amp; W Capital'!$D$16))*$C216*I$172</f>
        <v>0</v>
      </c>
      <c r="J216" s="190">
        <f>((H157*(1-'5.Closing Stock &amp; W Capital'!$D$16))+(G157*'5.Closing Stock &amp; W Capital'!$D$16))*$C216*J$172</f>
        <v>0</v>
      </c>
      <c r="K216" s="94"/>
      <c r="L216" s="94"/>
    </row>
    <row r="217" spans="1:12">
      <c r="A217" s="97">
        <f t="shared" si="34"/>
        <v>0</v>
      </c>
      <c r="B217" s="95" t="s">
        <v>369</v>
      </c>
      <c r="C217" s="247"/>
      <c r="D217" s="190">
        <f>(B158*(1-'5.Closing Stock &amp; W Capital'!$D$16))*$C217*D$172</f>
        <v>0</v>
      </c>
      <c r="E217" s="190">
        <f>((C158*(1-'5.Closing Stock &amp; W Capital'!$D$16))+(B158*'5.Closing Stock &amp; W Capital'!$D$16))*$C217*E$172</f>
        <v>0</v>
      </c>
      <c r="F217" s="190">
        <f>((D158*(1-'5.Closing Stock &amp; W Capital'!$D$16))+(C158*'5.Closing Stock &amp; W Capital'!$D$16))*$C217*F$172</f>
        <v>0</v>
      </c>
      <c r="G217" s="190">
        <f>((E158*(1-'5.Closing Stock &amp; W Capital'!$D$16))+(D158*'5.Closing Stock &amp; W Capital'!$D$16))*$C217*G$172</f>
        <v>0</v>
      </c>
      <c r="H217" s="190">
        <f>((F158*(1-'5.Closing Stock &amp; W Capital'!$D$16))+(E158*'5.Closing Stock &amp; W Capital'!$D$16))*$C217*H$172</f>
        <v>0</v>
      </c>
      <c r="I217" s="190">
        <f>((G158*(1-'5.Closing Stock &amp; W Capital'!$D$16))+(F158*'5.Closing Stock &amp; W Capital'!$D$16))*$C217*I$172</f>
        <v>0</v>
      </c>
      <c r="J217" s="190">
        <f>((H158*(1-'5.Closing Stock &amp; W Capital'!$D$16))+(G158*'5.Closing Stock &amp; W Capital'!$D$16))*$C217*J$172</f>
        <v>0</v>
      </c>
      <c r="K217" s="94"/>
      <c r="L217" s="94"/>
    </row>
    <row r="218" spans="1:12">
      <c r="A218" s="97">
        <f t="shared" si="34"/>
        <v>0</v>
      </c>
      <c r="B218" s="95" t="s">
        <v>369</v>
      </c>
      <c r="C218" s="247"/>
      <c r="D218" s="190">
        <f>(B159*(1-'5.Closing Stock &amp; W Capital'!$D$16))*$C218*D$172</f>
        <v>0</v>
      </c>
      <c r="E218" s="190">
        <f>((C159*(1-'5.Closing Stock &amp; W Capital'!$D$16))+(B159*'5.Closing Stock &amp; W Capital'!$D$16))*$C218*E$172</f>
        <v>0</v>
      </c>
      <c r="F218" s="190">
        <f>((D159*(1-'5.Closing Stock &amp; W Capital'!$D$16))+(C159*'5.Closing Stock &amp; W Capital'!$D$16))*$C218*F$172</f>
        <v>0</v>
      </c>
      <c r="G218" s="190">
        <f>((E159*(1-'5.Closing Stock &amp; W Capital'!$D$16))+(D159*'5.Closing Stock &amp; W Capital'!$D$16))*$C218*G$172</f>
        <v>0</v>
      </c>
      <c r="H218" s="190">
        <f>((F159*(1-'5.Closing Stock &amp; W Capital'!$D$16))+(E159*'5.Closing Stock &amp; W Capital'!$D$16))*$C218*H$172</f>
        <v>0</v>
      </c>
      <c r="I218" s="190">
        <f>((G159*(1-'5.Closing Stock &amp; W Capital'!$D$16))+(F159*'5.Closing Stock &amp; W Capital'!$D$16))*$C218*I$172</f>
        <v>0</v>
      </c>
      <c r="J218" s="190">
        <f>((H159*(1-'5.Closing Stock &amp; W Capital'!$D$16))+(G159*'5.Closing Stock &amp; W Capital'!$D$16))*$C218*J$172</f>
        <v>0</v>
      </c>
      <c r="K218" s="94"/>
      <c r="L218" s="94"/>
    </row>
    <row r="219" spans="1:12">
      <c r="A219" s="97">
        <f t="shared" si="34"/>
        <v>0</v>
      </c>
      <c r="B219" s="95" t="s">
        <v>369</v>
      </c>
      <c r="C219" s="247"/>
      <c r="D219" s="190">
        <f>(B160*(1-'5.Closing Stock &amp; W Capital'!$D$16))*$C219*D$172</f>
        <v>0</v>
      </c>
      <c r="E219" s="190">
        <f>((C160*(1-'5.Closing Stock &amp; W Capital'!$D$16))+(B160*'5.Closing Stock &amp; W Capital'!$D$16))*$C219*E$172</f>
        <v>0</v>
      </c>
      <c r="F219" s="190">
        <f>((D160*(1-'5.Closing Stock &amp; W Capital'!$D$16))+(C160*'5.Closing Stock &amp; W Capital'!$D$16))*$C219*F$172</f>
        <v>0</v>
      </c>
      <c r="G219" s="190">
        <f>((E160*(1-'5.Closing Stock &amp; W Capital'!$D$16))+(D160*'5.Closing Stock &amp; W Capital'!$D$16))*$C219*G$172</f>
        <v>0</v>
      </c>
      <c r="H219" s="190">
        <f>((F160*(1-'5.Closing Stock &amp; W Capital'!$D$16))+(E160*'5.Closing Stock &amp; W Capital'!$D$16))*$C219*H$172</f>
        <v>0</v>
      </c>
      <c r="I219" s="190">
        <f>((G160*(1-'5.Closing Stock &amp; W Capital'!$D$16))+(F160*'5.Closing Stock &amp; W Capital'!$D$16))*$C219*I$172</f>
        <v>0</v>
      </c>
      <c r="J219" s="190">
        <f>((H160*(1-'5.Closing Stock &amp; W Capital'!$D$16))+(G160*'5.Closing Stock &amp; W Capital'!$D$16))*$C219*J$172</f>
        <v>0</v>
      </c>
      <c r="K219" s="94"/>
      <c r="L219" s="94"/>
    </row>
    <row r="220" spans="1:12">
      <c r="A220" s="97">
        <f t="shared" si="34"/>
        <v>0</v>
      </c>
      <c r="B220" s="95" t="s">
        <v>369</v>
      </c>
      <c r="C220" s="247"/>
      <c r="D220" s="190">
        <f>(B161*(1-'5.Closing Stock &amp; W Capital'!$D$16))*$C220*D$172</f>
        <v>0</v>
      </c>
      <c r="E220" s="190">
        <f>((C161*(1-'5.Closing Stock &amp; W Capital'!$D$16))+(B161*'5.Closing Stock &amp; W Capital'!$D$16))*$C220*E$172</f>
        <v>0</v>
      </c>
      <c r="F220" s="190">
        <f>((D161*(1-'5.Closing Stock &amp; W Capital'!$D$16))+(C161*'5.Closing Stock &amp; W Capital'!$D$16))*$C220*F$172</f>
        <v>0</v>
      </c>
      <c r="G220" s="190">
        <f>((E161*(1-'5.Closing Stock &amp; W Capital'!$D$16))+(D161*'5.Closing Stock &amp; W Capital'!$D$16))*$C220*G$172</f>
        <v>0</v>
      </c>
      <c r="H220" s="190">
        <f>((F161*(1-'5.Closing Stock &amp; W Capital'!$D$16))+(E161*'5.Closing Stock &amp; W Capital'!$D$16))*$C220*H$172</f>
        <v>0</v>
      </c>
      <c r="I220" s="190">
        <f>((G161*(1-'5.Closing Stock &amp; W Capital'!$D$16))+(F161*'5.Closing Stock &amp; W Capital'!$D$16))*$C220*I$172</f>
        <v>0</v>
      </c>
      <c r="J220" s="190">
        <f>((H161*(1-'5.Closing Stock &amp; W Capital'!$D$16))+(G161*'5.Closing Stock &amp; W Capital'!$D$16))*$C220*J$172</f>
        <v>0</v>
      </c>
      <c r="K220" s="94"/>
      <c r="L220" s="94"/>
    </row>
    <row r="221" spans="1:12">
      <c r="A221" s="97">
        <f t="shared" ref="A221:A223" si="35">A162</f>
        <v>0</v>
      </c>
      <c r="B221" s="95" t="s">
        <v>369</v>
      </c>
      <c r="C221" s="247"/>
      <c r="D221" s="190">
        <f>(B162*(1-'5.Closing Stock &amp; W Capital'!$D$16))*$C221*D$172</f>
        <v>0</v>
      </c>
      <c r="E221" s="190">
        <f>((C162*(1-'5.Closing Stock &amp; W Capital'!$D$16))+(B162*'5.Closing Stock &amp; W Capital'!$D$16))*$C221*E$172</f>
        <v>0</v>
      </c>
      <c r="F221" s="190">
        <f>((D162*(1-'5.Closing Stock &amp; W Capital'!$D$16))+(C162*'5.Closing Stock &amp; W Capital'!$D$16))*$C221*F$172</f>
        <v>0</v>
      </c>
      <c r="G221" s="190">
        <f>((E162*(1-'5.Closing Stock &amp; W Capital'!$D$16))+(D162*'5.Closing Stock &amp; W Capital'!$D$16))*$C221*G$172</f>
        <v>0</v>
      </c>
      <c r="H221" s="190">
        <f>((F162*(1-'5.Closing Stock &amp; W Capital'!$D$16))+(E162*'5.Closing Stock &amp; W Capital'!$D$16))*$C221*H$172</f>
        <v>0</v>
      </c>
      <c r="I221" s="190">
        <f>((G162*(1-'5.Closing Stock &amp; W Capital'!$D$16))+(F162*'5.Closing Stock &amp; W Capital'!$D$16))*$C221*I$172</f>
        <v>0</v>
      </c>
      <c r="J221" s="190">
        <f>((H162*(1-'5.Closing Stock &amp; W Capital'!$D$16))+(G162*'5.Closing Stock &amp; W Capital'!$D$16))*$C221*J$172</f>
        <v>0</v>
      </c>
      <c r="K221" s="94"/>
      <c r="L221" s="94"/>
    </row>
    <row r="222" spans="1:12">
      <c r="A222" s="97">
        <f t="shared" si="35"/>
        <v>0</v>
      </c>
      <c r="B222" s="95" t="s">
        <v>369</v>
      </c>
      <c r="C222" s="247"/>
      <c r="D222" s="190">
        <f>(B163*(1-'5.Closing Stock &amp; W Capital'!$D$16))*$C222*D$172</f>
        <v>0</v>
      </c>
      <c r="E222" s="190">
        <f>((C163*(1-'5.Closing Stock &amp; W Capital'!$D$16))+(B163*'5.Closing Stock &amp; W Capital'!$D$16))*$C222*E$172</f>
        <v>0</v>
      </c>
      <c r="F222" s="190">
        <f>((D163*(1-'5.Closing Stock &amp; W Capital'!$D$16))+(C163*'5.Closing Stock &amp; W Capital'!$D$16))*$C222*F$172</f>
        <v>0</v>
      </c>
      <c r="G222" s="190">
        <f>((E163*(1-'5.Closing Stock &amp; W Capital'!$D$16))+(D163*'5.Closing Stock &amp; W Capital'!$D$16))*$C222*G$172</f>
        <v>0</v>
      </c>
      <c r="H222" s="190">
        <f>((F163*(1-'5.Closing Stock &amp; W Capital'!$D$16))+(E163*'5.Closing Stock &amp; W Capital'!$D$16))*$C222*H$172</f>
        <v>0</v>
      </c>
      <c r="I222" s="190">
        <f>((G163*(1-'5.Closing Stock &amp; W Capital'!$D$16))+(F163*'5.Closing Stock &amp; W Capital'!$D$16))*$C222*I$172</f>
        <v>0</v>
      </c>
      <c r="J222" s="190">
        <f>((H163*(1-'5.Closing Stock &amp; W Capital'!$D$16))+(G163*'5.Closing Stock &amp; W Capital'!$D$16))*$C222*J$172</f>
        <v>0</v>
      </c>
      <c r="K222" s="94"/>
      <c r="L222" s="94"/>
    </row>
    <row r="223" spans="1:12">
      <c r="A223" s="97">
        <f t="shared" si="35"/>
        <v>0</v>
      </c>
      <c r="B223" s="95" t="s">
        <v>369</v>
      </c>
      <c r="C223" s="247"/>
      <c r="D223" s="190">
        <f>(B164*(1-'5.Closing Stock &amp; W Capital'!$D$16))*$C223*D$172</f>
        <v>0</v>
      </c>
      <c r="E223" s="190">
        <f>((C164*(1-'5.Closing Stock &amp; W Capital'!$D$16))+(B164*'5.Closing Stock &amp; W Capital'!$D$16))*$C223*E$172</f>
        <v>0</v>
      </c>
      <c r="F223" s="190">
        <f>((D164*(1-'5.Closing Stock &amp; W Capital'!$D$16))+(C164*'5.Closing Stock &amp; W Capital'!$D$16))*$C223*F$172</f>
        <v>0</v>
      </c>
      <c r="G223" s="190">
        <f>((E164*(1-'5.Closing Stock &amp; W Capital'!$D$16))+(D164*'5.Closing Stock &amp; W Capital'!$D$16))*$C223*G$172</f>
        <v>0</v>
      </c>
      <c r="H223" s="190">
        <f>((F164*(1-'5.Closing Stock &amp; W Capital'!$D$16))+(E164*'5.Closing Stock &amp; W Capital'!$D$16))*$C223*H$172</f>
        <v>0</v>
      </c>
      <c r="I223" s="190">
        <f>((G164*(1-'5.Closing Stock &amp; W Capital'!$D$16))+(F164*'5.Closing Stock &amp; W Capital'!$D$16))*$C223*I$172</f>
        <v>0</v>
      </c>
      <c r="J223" s="190">
        <f>((H164*(1-'5.Closing Stock &amp; W Capital'!$D$16))+(G164*'5.Closing Stock &amp; W Capital'!$D$16))*$C223*J$172</f>
        <v>0</v>
      </c>
      <c r="K223" s="94"/>
      <c r="L223" s="94"/>
    </row>
    <row r="224" spans="1:12">
      <c r="A224" s="97" t="str">
        <f t="shared" ref="A224:A227" si="36">A165</f>
        <v>Pomegranate</v>
      </c>
      <c r="B224" s="95" t="s">
        <v>369</v>
      </c>
      <c r="C224" s="247">
        <v>5000</v>
      </c>
      <c r="D224" s="190">
        <f>(B165*(1-'5.Closing Stock &amp; W Capital'!$D$16))*$C224*D$172</f>
        <v>0</v>
      </c>
      <c r="E224" s="190">
        <f>((C165*(1-'5.Closing Stock &amp; W Capital'!$D$16))+(B165*'5.Closing Stock &amp; W Capital'!$D$16))*$C224*E$172</f>
        <v>0</v>
      </c>
      <c r="F224" s="190">
        <f>((D165*(1-'5.Closing Stock &amp; W Capital'!$D$16))+(C165*'5.Closing Stock &amp; W Capital'!$D$16))*$C224*F$172</f>
        <v>0</v>
      </c>
      <c r="G224" s="190">
        <f>((E165*(1-'5.Closing Stock &amp; W Capital'!$D$16))+(D165*'5.Closing Stock &amp; W Capital'!$D$16))*$C224*G$172</f>
        <v>0</v>
      </c>
      <c r="H224" s="190">
        <f>((F165*(1-'5.Closing Stock &amp; W Capital'!$D$16))+(E165*'5.Closing Stock &amp; W Capital'!$D$16))*$C224*H$172</f>
        <v>0</v>
      </c>
      <c r="I224" s="190">
        <f>((G165*(1-'5.Closing Stock &amp; W Capital'!$D$16))+(F165*'5.Closing Stock &amp; W Capital'!$D$16))*$C224*I$172</f>
        <v>0</v>
      </c>
      <c r="J224" s="190">
        <f>((H165*(1-'5.Closing Stock &amp; W Capital'!$D$16))+(G165*'5.Closing Stock &amp; W Capital'!$D$16))*$C224*J$172</f>
        <v>0</v>
      </c>
      <c r="K224" s="94"/>
      <c r="L224" s="94"/>
    </row>
    <row r="225" spans="1:12">
      <c r="A225" s="97" t="str">
        <f t="shared" si="36"/>
        <v>Custard Apple</v>
      </c>
      <c r="B225" s="95" t="s">
        <v>369</v>
      </c>
      <c r="C225" s="247"/>
      <c r="D225" s="190">
        <f>(B166*(1-'5.Closing Stock &amp; W Capital'!$D$16))*$C225*D$172</f>
        <v>0</v>
      </c>
      <c r="E225" s="190">
        <f>((C166*(1-'5.Closing Stock &amp; W Capital'!$D$16))+(B166*'5.Closing Stock &amp; W Capital'!$D$16))*$C225*E$172</f>
        <v>0</v>
      </c>
      <c r="F225" s="190">
        <f>((D166*(1-'5.Closing Stock &amp; W Capital'!$D$16))+(C166*'5.Closing Stock &amp; W Capital'!$D$16))*$C225*F$172</f>
        <v>0</v>
      </c>
      <c r="G225" s="190">
        <f>((E166*(1-'5.Closing Stock &amp; W Capital'!$D$16))+(D166*'5.Closing Stock &amp; W Capital'!$D$16))*$C225*G$172</f>
        <v>0</v>
      </c>
      <c r="H225" s="190">
        <f>((F166*(1-'5.Closing Stock &amp; W Capital'!$D$16))+(E166*'5.Closing Stock &amp; W Capital'!$D$16))*$C225*H$172</f>
        <v>0</v>
      </c>
      <c r="I225" s="190">
        <f>((G166*(1-'5.Closing Stock &amp; W Capital'!$D$16))+(F166*'5.Closing Stock &amp; W Capital'!$D$16))*$C225*I$172</f>
        <v>0</v>
      </c>
      <c r="J225" s="190">
        <f>((H166*(1-'5.Closing Stock &amp; W Capital'!$D$16))+(G166*'5.Closing Stock &amp; W Capital'!$D$16))*$C225*J$172</f>
        <v>0</v>
      </c>
      <c r="K225" s="94"/>
      <c r="L225" s="94"/>
    </row>
    <row r="226" spans="1:12">
      <c r="A226" s="97" t="str">
        <f t="shared" si="36"/>
        <v>Guava</v>
      </c>
      <c r="B226" s="95" t="s">
        <v>369</v>
      </c>
      <c r="C226" s="247"/>
      <c r="D226" s="190">
        <f>(B167*(1-'5.Closing Stock &amp; W Capital'!$D$16))*$C226*D$172</f>
        <v>0</v>
      </c>
      <c r="E226" s="190">
        <f>((C167*(1-'5.Closing Stock &amp; W Capital'!$D$16))+(B167*'5.Closing Stock &amp; W Capital'!$D$16))*$C226*E$172</f>
        <v>0</v>
      </c>
      <c r="F226" s="190">
        <f>((D167*(1-'5.Closing Stock &amp; W Capital'!$D$16))+(C167*'5.Closing Stock &amp; W Capital'!$D$16))*$C226*F$172</f>
        <v>0</v>
      </c>
      <c r="G226" s="190">
        <f>((E167*(1-'5.Closing Stock &amp; W Capital'!$D$16))+(D167*'5.Closing Stock &amp; W Capital'!$D$16))*$C226*G$172</f>
        <v>0</v>
      </c>
      <c r="H226" s="190">
        <f>((F167*(1-'5.Closing Stock &amp; W Capital'!$D$16))+(E167*'5.Closing Stock &amp; W Capital'!$D$16))*$C226*H$172</f>
        <v>0</v>
      </c>
      <c r="I226" s="190">
        <f>((G167*(1-'5.Closing Stock &amp; W Capital'!$D$16))+(F167*'5.Closing Stock &amp; W Capital'!$D$16))*$C226*I$172</f>
        <v>0</v>
      </c>
      <c r="J226" s="190">
        <f>((H167*(1-'5.Closing Stock &amp; W Capital'!$D$16))+(G167*'5.Closing Stock &amp; W Capital'!$D$16))*$C226*J$172</f>
        <v>0</v>
      </c>
      <c r="K226" s="94"/>
      <c r="L226" s="94"/>
    </row>
    <row r="227" spans="1:12">
      <c r="A227" s="97" t="str">
        <f t="shared" si="36"/>
        <v>Citrus</v>
      </c>
      <c r="B227" s="95" t="s">
        <v>369</v>
      </c>
      <c r="C227" s="247"/>
      <c r="D227" s="190">
        <f>(B168*(1-'5.Closing Stock &amp; W Capital'!$D$16))*$C227*D$172</f>
        <v>0</v>
      </c>
      <c r="E227" s="190">
        <f>((C168*(1-'5.Closing Stock &amp; W Capital'!$D$16))+(B168*'5.Closing Stock &amp; W Capital'!$D$16))*$C227*E$172</f>
        <v>0</v>
      </c>
      <c r="F227" s="190">
        <f>((D168*(1-'5.Closing Stock &amp; W Capital'!$D$16))+(C168*'5.Closing Stock &amp; W Capital'!$D$16))*$C227*F$172</f>
        <v>0</v>
      </c>
      <c r="G227" s="190">
        <f>((E168*(1-'5.Closing Stock &amp; W Capital'!$D$16))+(D168*'5.Closing Stock &amp; W Capital'!$D$16))*$C227*G$172</f>
        <v>0</v>
      </c>
      <c r="H227" s="190">
        <f>((F168*(1-'5.Closing Stock &amp; W Capital'!$D$16))+(E168*'5.Closing Stock &amp; W Capital'!$D$16))*$C227*H$172</f>
        <v>0</v>
      </c>
      <c r="I227" s="190">
        <f>((G168*(1-'5.Closing Stock &amp; W Capital'!$D$16))+(F168*'5.Closing Stock &amp; W Capital'!$D$16))*$C227*I$172</f>
        <v>0</v>
      </c>
      <c r="J227" s="19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192">
        <f t="shared" ref="D229:J229" si="37">SUM(D178:D228)</f>
        <v>16591683.239999998</v>
      </c>
      <c r="E229" s="192">
        <f t="shared" si="37"/>
        <v>20064021.100199997</v>
      </c>
      <c r="F229" s="192">
        <f t="shared" si="37"/>
        <v>22991021.063010003</v>
      </c>
      <c r="G229" s="192">
        <f t="shared" si="37"/>
        <v>26160560.969350506</v>
      </c>
      <c r="H229" s="192">
        <f t="shared" si="37"/>
        <v>29589577.313667536</v>
      </c>
      <c r="I229" s="192">
        <f t="shared" si="37"/>
        <v>33296093.889992896</v>
      </c>
      <c r="J229" s="192">
        <f t="shared" si="37"/>
        <v>37299288.180666618</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315</v>
      </c>
      <c r="B232" s="97"/>
      <c r="C232" s="95"/>
      <c r="D232" s="95"/>
      <c r="E232" s="95"/>
      <c r="F232" s="95"/>
      <c r="G232" s="95"/>
      <c r="H232" s="95"/>
      <c r="I232" s="95"/>
      <c r="J232" s="95"/>
      <c r="K232" s="94"/>
      <c r="L232" s="94"/>
    </row>
    <row r="233" spans="1:12">
      <c r="A233" s="95" t="str">
        <f t="shared" ref="A233:A254" si="38">A178</f>
        <v>Soybean</v>
      </c>
      <c r="B233" s="95" t="s">
        <v>369</v>
      </c>
      <c r="C233" s="243">
        <v>2700</v>
      </c>
      <c r="D233" s="96">
        <f>B68*$C$233*D$172</f>
        <v>11547360</v>
      </c>
      <c r="E233" s="96">
        <f>C68*$C$233*E$172</f>
        <v>13337200.800000003</v>
      </c>
      <c r="F233" s="96">
        <f>D68*$C$233*F172</f>
        <v>15277157.280000003</v>
      </c>
      <c r="G233" s="96">
        <f>E68*$C$233*G172</f>
        <v>17377766.406000007</v>
      </c>
      <c r="H233" s="96">
        <f>F68*$C$233*H172</f>
        <v>19650243.55140001</v>
      </c>
      <c r="I233" s="96">
        <f>G68*$C$233*I172</f>
        <v>22106523.995325014</v>
      </c>
      <c r="J233" s="96">
        <f>H68*$C$233*J172</f>
        <v>24759306.874764018</v>
      </c>
      <c r="K233" s="94"/>
      <c r="L233" s="94"/>
    </row>
    <row r="234" spans="1:12">
      <c r="A234" s="95" t="str">
        <f t="shared" si="38"/>
        <v>Red Gram/Tur</v>
      </c>
      <c r="B234" s="95" t="s">
        <v>369</v>
      </c>
      <c r="C234" s="243">
        <v>5800</v>
      </c>
      <c r="D234" s="96">
        <f>B69*$C$234*D$172</f>
        <v>0</v>
      </c>
      <c r="E234" s="96">
        <f t="shared" ref="E234:J234" si="39">C69*$C$234*E172</f>
        <v>0</v>
      </c>
      <c r="F234" s="96">
        <f t="shared" si="39"/>
        <v>0</v>
      </c>
      <c r="G234" s="96">
        <f t="shared" si="39"/>
        <v>0</v>
      </c>
      <c r="H234" s="96">
        <f t="shared" si="39"/>
        <v>0</v>
      </c>
      <c r="I234" s="96">
        <f t="shared" si="39"/>
        <v>0</v>
      </c>
      <c r="J234" s="96">
        <f t="shared" si="39"/>
        <v>0</v>
      </c>
      <c r="K234" s="94"/>
      <c r="L234" s="94"/>
    </row>
    <row r="235" spans="1:12">
      <c r="A235" s="95" t="str">
        <f t="shared" si="38"/>
        <v>Paddy/Rice</v>
      </c>
      <c r="B235" s="95" t="s">
        <v>369</v>
      </c>
      <c r="C235" s="243"/>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369</v>
      </c>
      <c r="C236" s="243">
        <v>5800</v>
      </c>
      <c r="D236" s="96">
        <f t="shared" ref="D236:J236" si="41">B71*$C$236*D$172</f>
        <v>0</v>
      </c>
      <c r="E236" s="96">
        <f t="shared" si="41"/>
        <v>0</v>
      </c>
      <c r="F236" s="96">
        <f t="shared" si="41"/>
        <v>0</v>
      </c>
      <c r="G236" s="96">
        <f t="shared" si="41"/>
        <v>0</v>
      </c>
      <c r="H236" s="96">
        <f t="shared" si="41"/>
        <v>0</v>
      </c>
      <c r="I236" s="96">
        <f t="shared" si="41"/>
        <v>0</v>
      </c>
      <c r="J236" s="96">
        <f t="shared" si="41"/>
        <v>0</v>
      </c>
      <c r="K236" s="94"/>
      <c r="L236" s="94"/>
    </row>
    <row r="237" spans="1:12">
      <c r="A237" s="95" t="str">
        <f t="shared" si="38"/>
        <v>Maize</v>
      </c>
      <c r="B237" s="95" t="s">
        <v>369</v>
      </c>
      <c r="C237" s="243"/>
      <c r="D237" s="96">
        <f t="shared" ref="D237:J237" si="42">B72*$C$237*D$172</f>
        <v>0</v>
      </c>
      <c r="E237" s="96">
        <f t="shared" si="42"/>
        <v>0</v>
      </c>
      <c r="F237" s="96">
        <f t="shared" si="42"/>
        <v>0</v>
      </c>
      <c r="G237" s="96">
        <f t="shared" si="42"/>
        <v>0</v>
      </c>
      <c r="H237" s="96">
        <f t="shared" si="42"/>
        <v>0</v>
      </c>
      <c r="I237" s="96">
        <f t="shared" si="42"/>
        <v>0</v>
      </c>
      <c r="J237" s="96">
        <f t="shared" si="42"/>
        <v>0</v>
      </c>
      <c r="K237" s="94"/>
      <c r="L237" s="94"/>
    </row>
    <row r="238" spans="1:12">
      <c r="A238" s="95" t="str">
        <f t="shared" si="38"/>
        <v>Black Gram/Udid</v>
      </c>
      <c r="B238" s="95" t="s">
        <v>369</v>
      </c>
      <c r="C238" s="243">
        <v>6300</v>
      </c>
      <c r="D238" s="96">
        <f t="shared" ref="D238:J238" si="43">B73*$C$238*D$172</f>
        <v>0</v>
      </c>
      <c r="E238" s="96">
        <f t="shared" si="43"/>
        <v>0</v>
      </c>
      <c r="F238" s="96">
        <f t="shared" si="43"/>
        <v>0</v>
      </c>
      <c r="G238" s="96">
        <f t="shared" si="43"/>
        <v>0</v>
      </c>
      <c r="H238" s="96">
        <f t="shared" si="43"/>
        <v>0</v>
      </c>
      <c r="I238" s="96">
        <f t="shared" si="43"/>
        <v>0</v>
      </c>
      <c r="J238" s="96">
        <f t="shared" si="43"/>
        <v>0</v>
      </c>
      <c r="K238" s="94"/>
      <c r="L238" s="94"/>
    </row>
    <row r="239" spans="1:12">
      <c r="A239" s="95" t="str">
        <f t="shared" si="38"/>
        <v>Bajra</v>
      </c>
      <c r="B239" s="95" t="s">
        <v>369</v>
      </c>
      <c r="C239" s="243">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369</v>
      </c>
      <c r="C240" s="243"/>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369</v>
      </c>
      <c r="C241" s="243"/>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369</v>
      </c>
      <c r="C242" s="243"/>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Bengal Gram/Channa</v>
      </c>
      <c r="B243" s="95" t="s">
        <v>369</v>
      </c>
      <c r="C243" s="243">
        <v>4650</v>
      </c>
      <c r="D243" s="96">
        <f t="shared" ref="D243:J243" si="48">B78*$C$243*D$172</f>
        <v>2946240</v>
      </c>
      <c r="E243" s="96">
        <f t="shared" si="48"/>
        <v>3402907.2</v>
      </c>
      <c r="F243" s="96">
        <f t="shared" si="48"/>
        <v>3897875.5200000009</v>
      </c>
      <c r="G243" s="96">
        <f t="shared" si="48"/>
        <v>4433833.404000002</v>
      </c>
      <c r="H243" s="96">
        <f t="shared" si="48"/>
        <v>5013642.3876000028</v>
      </c>
      <c r="I243" s="96">
        <f t="shared" si="48"/>
        <v>5640347.6860500043</v>
      </c>
      <c r="J243" s="96">
        <f t="shared" si="48"/>
        <v>6317189.4083760045</v>
      </c>
      <c r="K243" s="94"/>
      <c r="L243" s="94"/>
    </row>
    <row r="244" spans="1:12">
      <c r="A244" s="95" t="str">
        <f t="shared" si="38"/>
        <v>Jawar</v>
      </c>
      <c r="B244" s="95" t="s">
        <v>369</v>
      </c>
      <c r="C244" s="243"/>
      <c r="D244" s="96">
        <f t="shared" ref="D244:J244" si="49">B79*$C$244*D$172</f>
        <v>0</v>
      </c>
      <c r="E244" s="96">
        <f t="shared" si="49"/>
        <v>0</v>
      </c>
      <c r="F244" s="96">
        <f t="shared" si="49"/>
        <v>0</v>
      </c>
      <c r="G244" s="96">
        <f t="shared" si="49"/>
        <v>0</v>
      </c>
      <c r="H244" s="96">
        <f t="shared" si="49"/>
        <v>0</v>
      </c>
      <c r="I244" s="96">
        <f t="shared" si="49"/>
        <v>0</v>
      </c>
      <c r="J244" s="96">
        <f t="shared" si="49"/>
        <v>0</v>
      </c>
      <c r="K244" s="94"/>
      <c r="L244" s="94"/>
    </row>
    <row r="245" spans="1:12">
      <c r="A245" s="95" t="str">
        <f t="shared" si="38"/>
        <v>Maize</v>
      </c>
      <c r="B245" s="95" t="s">
        <v>369</v>
      </c>
      <c r="C245" s="243"/>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369</v>
      </c>
      <c r="C246" s="243"/>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369</v>
      </c>
      <c r="C247" s="243"/>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369</v>
      </c>
      <c r="C248" s="243"/>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369</v>
      </c>
      <c r="C249" s="243"/>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369</v>
      </c>
      <c r="C250" s="243"/>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369</v>
      </c>
      <c r="C251" s="243"/>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369</v>
      </c>
      <c r="C252" s="243"/>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369</v>
      </c>
      <c r="C253" s="243"/>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369</v>
      </c>
      <c r="C254" s="243"/>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43"/>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43"/>
      <c r="D256" s="96"/>
      <c r="E256" s="96"/>
      <c r="F256" s="96"/>
      <c r="G256" s="96"/>
      <c r="H256" s="96"/>
      <c r="I256" s="96"/>
      <c r="J256" s="96"/>
      <c r="K256" s="94"/>
      <c r="L256" s="94"/>
    </row>
    <row r="257" spans="1:12">
      <c r="A257" s="95" t="str">
        <f t="shared" si="55"/>
        <v>Onion</v>
      </c>
      <c r="B257" s="95" t="s">
        <v>369</v>
      </c>
      <c r="C257" s="243">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369</v>
      </c>
      <c r="C258" s="243">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369</v>
      </c>
      <c r="C259" s="243">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369</v>
      </c>
      <c r="C260" s="243">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369</v>
      </c>
      <c r="C261" s="243">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369</v>
      </c>
      <c r="C262" s="243"/>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369</v>
      </c>
      <c r="C263" s="243"/>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369</v>
      </c>
      <c r="C264" s="243"/>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369</v>
      </c>
      <c r="C265" s="243"/>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369</v>
      </c>
      <c r="C266" s="243">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369</v>
      </c>
      <c r="C267" s="243">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369</v>
      </c>
      <c r="C268" s="243">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369</v>
      </c>
      <c r="C269" s="243">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369</v>
      </c>
      <c r="C270" s="243">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369</v>
      </c>
      <c r="C271" s="243"/>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369</v>
      </c>
      <c r="C272" s="243"/>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369</v>
      </c>
      <c r="C273" s="243"/>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369</v>
      </c>
      <c r="C274" s="243"/>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369</v>
      </c>
      <c r="C275" s="243">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369</v>
      </c>
      <c r="C276" s="243"/>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369</v>
      </c>
      <c r="C277" s="243"/>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369</v>
      </c>
      <c r="C278" s="243"/>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369</v>
      </c>
      <c r="C279" s="243"/>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43"/>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43"/>
      <c r="D281" s="96"/>
      <c r="E281" s="96"/>
      <c r="F281" s="96"/>
      <c r="G281" s="96"/>
      <c r="H281" s="96"/>
      <c r="I281" s="96"/>
      <c r="J281" s="96"/>
      <c r="K281" s="94"/>
      <c r="L281" s="94"/>
    </row>
    <row r="282" spans="1:12">
      <c r="A282" s="95" t="s">
        <v>316</v>
      </c>
      <c r="B282" s="223">
        <v>4</v>
      </c>
      <c r="C282" s="223">
        <v>250</v>
      </c>
      <c r="D282" s="96">
        <f t="shared" ref="D282:J282" si="64">B10*$B$282*$C$282*D172</f>
        <v>61380.000000000007</v>
      </c>
      <c r="E282" s="96">
        <f t="shared" si="64"/>
        <v>70893.900000000009</v>
      </c>
      <c r="F282" s="96">
        <f t="shared" si="64"/>
        <v>81205.74000000002</v>
      </c>
      <c r="G282" s="96">
        <f t="shared" si="64"/>
        <v>92371.529250000021</v>
      </c>
      <c r="H282" s="96">
        <f t="shared" si="64"/>
        <v>104450.88307500003</v>
      </c>
      <c r="I282" s="96">
        <f t="shared" si="64"/>
        <v>117507.24345937507</v>
      </c>
      <c r="J282" s="96">
        <f t="shared" si="64"/>
        <v>131608.11267450009</v>
      </c>
      <c r="K282" s="94"/>
      <c r="L282" s="94"/>
    </row>
    <row r="283" spans="1:12">
      <c r="A283" s="95" t="s">
        <v>145</v>
      </c>
      <c r="B283" s="95">
        <f>'2.Capex Details'!H45*0.746*8</f>
        <v>0</v>
      </c>
      <c r="C283" s="223">
        <v>8</v>
      </c>
      <c r="D283" s="96">
        <f t="shared" ref="D283:J283" si="65">$B$283*$C$283*D172*B10</f>
        <v>0</v>
      </c>
      <c r="E283" s="96">
        <f t="shared" si="65"/>
        <v>0</v>
      </c>
      <c r="F283" s="96">
        <f t="shared" si="65"/>
        <v>0</v>
      </c>
      <c r="G283" s="96">
        <f t="shared" si="65"/>
        <v>0</v>
      </c>
      <c r="H283" s="96">
        <f t="shared" si="65"/>
        <v>0</v>
      </c>
      <c r="I283" s="96">
        <f t="shared" si="65"/>
        <v>0</v>
      </c>
      <c r="J283" s="96">
        <f t="shared" si="65"/>
        <v>0</v>
      </c>
      <c r="K283" s="94"/>
      <c r="L283" s="94"/>
    </row>
    <row r="284" spans="1:12">
      <c r="A284" s="95" t="s">
        <v>475</v>
      </c>
      <c r="B284" s="95"/>
      <c r="C284" s="223">
        <v>20</v>
      </c>
      <c r="D284" s="96">
        <f t="shared" ref="D284:J284" si="66">SUM(B120:B141)*$C$284*D172</f>
        <v>95261.759999999995</v>
      </c>
      <c r="E284" s="96">
        <f t="shared" si="66"/>
        <v>110027.33280000002</v>
      </c>
      <c r="F284" s="96">
        <f t="shared" si="66"/>
        <v>126031.30848000004</v>
      </c>
      <c r="G284" s="96">
        <f t="shared" si="66"/>
        <v>143360.61339600006</v>
      </c>
      <c r="H284" s="96">
        <f t="shared" si="66"/>
        <v>162107.77053240009</v>
      </c>
      <c r="I284" s="96">
        <f t="shared" si="66"/>
        <v>182371.2418489501</v>
      </c>
      <c r="J284" s="96">
        <f t="shared" si="66"/>
        <v>204255.79087082413</v>
      </c>
      <c r="K284" s="94"/>
      <c r="L284" s="94"/>
    </row>
    <row r="285" spans="1:12">
      <c r="A285" s="95" t="s">
        <v>474</v>
      </c>
      <c r="B285" s="95"/>
      <c r="C285" s="223">
        <v>25</v>
      </c>
      <c r="D285" s="96">
        <f t="shared" ref="D285:J285" si="67">SUM(B120:B141)*$C$285*D172</f>
        <v>119077.2</v>
      </c>
      <c r="E285" s="96">
        <f t="shared" si="67"/>
        <v>137534.16600000003</v>
      </c>
      <c r="F285" s="96">
        <f t="shared" si="67"/>
        <v>157539.13560000001</v>
      </c>
      <c r="G285" s="96">
        <f t="shared" si="67"/>
        <v>179200.76674500006</v>
      </c>
      <c r="H285" s="96">
        <f t="shared" si="67"/>
        <v>202634.71316550008</v>
      </c>
      <c r="I285" s="96">
        <f t="shared" si="67"/>
        <v>227964.05231118761</v>
      </c>
      <c r="J285" s="96">
        <f t="shared" si="67"/>
        <v>255319.73858853019</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348</v>
      </c>
      <c r="B289" s="95"/>
      <c r="C289" s="95"/>
      <c r="D289" s="190"/>
      <c r="E289" s="190">
        <f>'5.Closing Stock &amp; W Capital'!F7</f>
        <v>732512.08799999999</v>
      </c>
      <c r="F289" s="190">
        <f>'5.Closing Stock &amp; W Capital'!G7</f>
        <v>846051.46164000023</v>
      </c>
      <c r="G289" s="190">
        <f>'5.Closing Stock &amp; W Capital'!H7</f>
        <v>969113.49242400005</v>
      </c>
      <c r="H289" s="190">
        <f>'5.Closing Stock &amp; W Capital'!I7</f>
        <v>1102366.5976323006</v>
      </c>
      <c r="I289" s="190">
        <f>'5.Closing Stock &amp; W Capital'!J7</f>
        <v>1246522.2296303704</v>
      </c>
      <c r="J289" s="190">
        <f>'5.Closing Stock &amp; W Capital'!K7</f>
        <v>1402337.5083341673</v>
      </c>
      <c r="K289" s="94"/>
      <c r="L289" s="94"/>
    </row>
    <row r="290" spans="1:20">
      <c r="A290" s="99" t="s">
        <v>349</v>
      </c>
      <c r="B290" s="95"/>
      <c r="C290" s="190"/>
      <c r="D290" s="190">
        <f>'5.Closing Stock &amp; W Capital'!E16</f>
        <v>732512.08799999999</v>
      </c>
      <c r="E290" s="190">
        <f>'5.Closing Stock &amp; W Capital'!F16</f>
        <v>846051.46164000023</v>
      </c>
      <c r="F290" s="190">
        <f>'5.Closing Stock &amp; W Capital'!G16</f>
        <v>969113.49242400005</v>
      </c>
      <c r="G290" s="190">
        <f>'5.Closing Stock &amp; W Capital'!H16</f>
        <v>1102366.5976323006</v>
      </c>
      <c r="H290" s="190">
        <f>'5.Closing Stock &amp; W Capital'!I16</f>
        <v>1246522.2296303704</v>
      </c>
      <c r="I290" s="190">
        <f>'5.Closing Stock &amp; W Capital'!J16</f>
        <v>1402337.5083341673</v>
      </c>
      <c r="J290" s="190">
        <f>'5.Closing Stock &amp; W Capital'!K16</f>
        <v>1570618.0093342673</v>
      </c>
      <c r="K290" s="94"/>
      <c r="L290" s="94"/>
    </row>
    <row r="291" spans="1:20">
      <c r="A291" s="99"/>
      <c r="B291" s="95"/>
      <c r="C291" s="193"/>
      <c r="D291" s="190"/>
      <c r="E291" s="190"/>
      <c r="F291" s="190"/>
      <c r="G291" s="190"/>
      <c r="H291" s="190"/>
      <c r="I291" s="190"/>
      <c r="J291" s="190"/>
      <c r="K291" s="94"/>
      <c r="L291" s="94"/>
      <c r="M291" s="94"/>
      <c r="N291" s="94"/>
      <c r="O291" s="94"/>
      <c r="P291" s="94"/>
      <c r="Q291" s="94"/>
      <c r="R291" s="94"/>
      <c r="S291" s="94"/>
      <c r="T291" s="94"/>
    </row>
    <row r="292" spans="1:20">
      <c r="A292" s="97" t="s">
        <v>326</v>
      </c>
      <c r="B292" s="97"/>
      <c r="C292" s="97"/>
      <c r="D292" s="115">
        <f t="shared" ref="D292:J292" si="68">SUM(D233:D289)-D290</f>
        <v>14036806.872</v>
      </c>
      <c r="E292" s="115">
        <f t="shared" si="68"/>
        <v>16945024.025160003</v>
      </c>
      <c r="F292" s="115">
        <f t="shared" si="68"/>
        <v>19416746.953296002</v>
      </c>
      <c r="G292" s="115">
        <f t="shared" si="68"/>
        <v>22093279.614182711</v>
      </c>
      <c r="H292" s="115">
        <f t="shared" si="68"/>
        <v>24988923.673774838</v>
      </c>
      <c r="I292" s="115">
        <f t="shared" si="68"/>
        <v>28118898.94029073</v>
      </c>
      <c r="J292" s="115">
        <f t="shared" si="68"/>
        <v>31499399.424273778</v>
      </c>
      <c r="K292" s="94"/>
      <c r="L292" s="94"/>
      <c r="M292" s="94"/>
      <c r="N292" s="94"/>
      <c r="O292" s="94"/>
      <c r="P292" s="94"/>
      <c r="Q292" s="94"/>
      <c r="R292" s="94"/>
      <c r="S292" s="94"/>
      <c r="T292" s="94"/>
    </row>
    <row r="293" spans="1:20">
      <c r="A293" s="97" t="s">
        <v>313</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23">
        <v>1</v>
      </c>
      <c r="C294" s="243">
        <v>12500</v>
      </c>
      <c r="D294" s="96">
        <f t="shared" ref="D294:J294" si="69">$B$294*$C$294*12*D172</f>
        <v>150000</v>
      </c>
      <c r="E294" s="96">
        <f t="shared" si="69"/>
        <v>157500</v>
      </c>
      <c r="F294" s="96">
        <f t="shared" si="69"/>
        <v>165375</v>
      </c>
      <c r="G294" s="96">
        <f t="shared" si="69"/>
        <v>173643.75000000003</v>
      </c>
      <c r="H294" s="96">
        <f t="shared" si="69"/>
        <v>182325.93750000003</v>
      </c>
      <c r="I294" s="96">
        <f t="shared" si="69"/>
        <v>191442.23437500006</v>
      </c>
      <c r="J294" s="96">
        <f t="shared" si="69"/>
        <v>201014.34609375006</v>
      </c>
      <c r="K294" s="94"/>
      <c r="L294" s="94"/>
      <c r="M294" s="94"/>
      <c r="N294" s="94"/>
      <c r="O294" s="94"/>
      <c r="P294" s="94"/>
      <c r="Q294" s="94"/>
      <c r="R294" s="94"/>
      <c r="S294" s="94"/>
      <c r="T294" s="94"/>
    </row>
    <row r="295" spans="1:20">
      <c r="A295" s="95" t="s">
        <v>736</v>
      </c>
      <c r="B295" s="223"/>
      <c r="C295" s="243"/>
      <c r="D295" s="96">
        <f>10000*6</f>
        <v>60000</v>
      </c>
      <c r="E295" s="96">
        <f>D295*1.1</f>
        <v>66000</v>
      </c>
      <c r="F295" s="96">
        <f t="shared" ref="F295:J295" si="70">E295*1.1</f>
        <v>72600</v>
      </c>
      <c r="G295" s="96">
        <f t="shared" si="70"/>
        <v>79860</v>
      </c>
      <c r="H295" s="96">
        <f t="shared" si="70"/>
        <v>87846</v>
      </c>
      <c r="I295" s="96">
        <f t="shared" si="70"/>
        <v>96630.6</v>
      </c>
      <c r="J295" s="96">
        <f t="shared" si="70"/>
        <v>106293.66000000002</v>
      </c>
      <c r="K295" s="94"/>
      <c r="L295" s="94"/>
      <c r="M295" s="94"/>
      <c r="N295" s="94"/>
      <c r="O295" s="94"/>
      <c r="P295" s="94"/>
      <c r="Q295" s="94"/>
      <c r="R295" s="94"/>
      <c r="S295" s="94"/>
      <c r="T295" s="94"/>
    </row>
    <row r="296" spans="1:20">
      <c r="A296" s="95"/>
      <c r="B296" s="223"/>
      <c r="C296" s="243"/>
      <c r="D296" s="96"/>
      <c r="E296" s="96"/>
      <c r="F296" s="96"/>
      <c r="G296" s="96"/>
      <c r="H296" s="96"/>
      <c r="I296" s="96"/>
      <c r="J296" s="96"/>
      <c r="K296" s="94"/>
      <c r="L296" s="94"/>
      <c r="M296" s="94"/>
      <c r="N296" s="94"/>
      <c r="O296" s="94"/>
      <c r="P296" s="94"/>
      <c r="Q296" s="94"/>
      <c r="R296" s="94"/>
      <c r="S296" s="94"/>
      <c r="T296" s="94"/>
    </row>
    <row r="297" spans="1:20">
      <c r="A297" s="95"/>
      <c r="B297" s="223"/>
      <c r="C297" s="243"/>
      <c r="D297" s="96"/>
      <c r="E297" s="96"/>
      <c r="F297" s="96"/>
      <c r="G297" s="96"/>
      <c r="H297" s="96"/>
      <c r="I297" s="96"/>
      <c r="J297" s="96"/>
      <c r="K297" s="94"/>
      <c r="L297" s="94"/>
      <c r="M297" s="94"/>
      <c r="N297" s="94"/>
      <c r="O297" s="94"/>
      <c r="P297" s="94"/>
      <c r="Q297" s="94"/>
      <c r="R297" s="94"/>
      <c r="S297" s="94"/>
      <c r="T297" s="94"/>
    </row>
    <row r="298" spans="1:20">
      <c r="A298" s="97" t="s">
        <v>330</v>
      </c>
      <c r="B298" s="228"/>
      <c r="C298" s="228"/>
      <c r="D298" s="115">
        <f t="shared" ref="D298:J298" si="71">SUM(D294:D297)</f>
        <v>210000</v>
      </c>
      <c r="E298" s="115">
        <f t="shared" si="71"/>
        <v>223500</v>
      </c>
      <c r="F298" s="115">
        <f t="shared" si="71"/>
        <v>237975</v>
      </c>
      <c r="G298" s="115">
        <f t="shared" si="71"/>
        <v>253503.75000000003</v>
      </c>
      <c r="H298" s="115">
        <f t="shared" si="71"/>
        <v>270171.9375</v>
      </c>
      <c r="I298" s="115">
        <f t="shared" si="71"/>
        <v>288072.83437500009</v>
      </c>
      <c r="J298" s="115">
        <f t="shared" si="71"/>
        <v>307308.00609375007</v>
      </c>
      <c r="K298" s="94"/>
      <c r="L298" s="94"/>
      <c r="M298" s="94"/>
      <c r="N298" s="194"/>
      <c r="O298" s="94"/>
      <c r="P298" s="94"/>
      <c r="Q298" s="94"/>
      <c r="R298" s="94"/>
      <c r="S298" s="94"/>
      <c r="T298" s="94"/>
    </row>
    <row r="299" spans="1:20">
      <c r="A299" s="97" t="s">
        <v>130</v>
      </c>
      <c r="B299" s="97"/>
      <c r="C299" s="97"/>
      <c r="D299" s="115">
        <f t="shared" ref="D299:J299" si="72">D292+D298</f>
        <v>14246806.872</v>
      </c>
      <c r="E299" s="115">
        <f t="shared" si="72"/>
        <v>17168524.025160003</v>
      </c>
      <c r="F299" s="115">
        <f t="shared" si="72"/>
        <v>19654721.953296002</v>
      </c>
      <c r="G299" s="115">
        <f t="shared" si="72"/>
        <v>22346783.364182711</v>
      </c>
      <c r="H299" s="115">
        <f t="shared" si="72"/>
        <v>25259095.611274838</v>
      </c>
      <c r="I299" s="115">
        <f t="shared" si="72"/>
        <v>28406971.774665732</v>
      </c>
      <c r="J299" s="115">
        <f t="shared" si="72"/>
        <v>31806707.430367529</v>
      </c>
      <c r="K299" s="94"/>
      <c r="L299" s="94"/>
      <c r="M299" s="94"/>
      <c r="N299" s="94"/>
      <c r="O299" s="94"/>
      <c r="P299" s="94"/>
      <c r="Q299" s="94"/>
      <c r="R299" s="94"/>
      <c r="S299" s="94"/>
      <c r="T299" s="94"/>
    </row>
    <row r="300" spans="1:20">
      <c r="A300" s="95"/>
      <c r="B300" s="95"/>
      <c r="C300" s="95"/>
      <c r="D300" s="110"/>
      <c r="E300" s="110"/>
      <c r="F300" s="110"/>
      <c r="G300" s="110"/>
      <c r="H300" s="110"/>
      <c r="I300" s="95"/>
      <c r="J300" s="95"/>
      <c r="K300" s="94"/>
      <c r="L300" s="94"/>
      <c r="M300" s="94"/>
      <c r="N300" s="94"/>
      <c r="O300" s="94"/>
      <c r="P300" s="94"/>
      <c r="Q300" s="94"/>
      <c r="R300" s="94"/>
      <c r="S300" s="94"/>
      <c r="T300" s="94"/>
    </row>
    <row r="301" spans="1:20">
      <c r="A301" s="97"/>
      <c r="B301" s="97"/>
      <c r="C301" s="97"/>
      <c r="D301" s="110"/>
      <c r="E301" s="110"/>
      <c r="F301" s="110"/>
      <c r="G301" s="110"/>
      <c r="H301" s="110"/>
      <c r="I301" s="95"/>
      <c r="J301" s="95"/>
      <c r="K301" s="94"/>
      <c r="L301" s="94"/>
      <c r="M301" s="94"/>
      <c r="N301" s="94"/>
      <c r="O301" s="94"/>
      <c r="P301" s="94"/>
      <c r="Q301" s="94"/>
      <c r="R301" s="94"/>
      <c r="S301" s="94"/>
      <c r="T301" s="94"/>
    </row>
    <row r="302" spans="1:20">
      <c r="A302" s="97" t="s">
        <v>318</v>
      </c>
      <c r="B302" s="97"/>
      <c r="C302" s="97"/>
      <c r="D302" s="115">
        <f t="shared" ref="D302:J302" si="73">D229-D299</f>
        <v>2344876.3679999989</v>
      </c>
      <c r="E302" s="115">
        <f t="shared" si="73"/>
        <v>2895497.075039994</v>
      </c>
      <c r="F302" s="115">
        <f t="shared" si="73"/>
        <v>3336299.1097140014</v>
      </c>
      <c r="G302" s="115">
        <f t="shared" si="73"/>
        <v>3813777.605167795</v>
      </c>
      <c r="H302" s="115">
        <f t="shared" si="73"/>
        <v>4330481.7023926973</v>
      </c>
      <c r="I302" s="115">
        <f t="shared" si="73"/>
        <v>4889122.1153271645</v>
      </c>
      <c r="J302" s="115">
        <f t="shared" si="73"/>
        <v>5492580.7502990887</v>
      </c>
      <c r="K302" s="94"/>
      <c r="L302" s="94"/>
      <c r="M302" s="94"/>
      <c r="N302" s="94"/>
      <c r="O302" s="94"/>
      <c r="P302" s="94"/>
      <c r="Q302" s="94"/>
      <c r="R302" s="94"/>
      <c r="S302" s="94"/>
      <c r="T302" s="94"/>
    </row>
    <row r="303" spans="1:20">
      <c r="A303" s="94"/>
      <c r="B303" s="94"/>
      <c r="C303" s="94"/>
      <c r="D303" s="94"/>
      <c r="E303" s="94"/>
      <c r="F303" s="94"/>
      <c r="G303" s="94"/>
      <c r="H303" s="94"/>
      <c r="I303" s="94"/>
      <c r="J303" s="94"/>
    </row>
    <row r="304" spans="1:20">
      <c r="A304" s="94" t="s">
        <v>51</v>
      </c>
      <c r="B304" s="94"/>
      <c r="C304" s="94"/>
      <c r="D304" s="94"/>
      <c r="E304" s="94"/>
      <c r="F304" s="94"/>
      <c r="G304" s="94"/>
      <c r="H304" s="94"/>
      <c r="I304" s="94"/>
      <c r="J304" s="94"/>
    </row>
    <row r="305" spans="1:10">
      <c r="A305" s="439" t="s">
        <v>433</v>
      </c>
      <c r="B305" s="439"/>
      <c r="C305" s="439"/>
      <c r="D305" s="439"/>
      <c r="E305" s="439"/>
      <c r="F305" s="439"/>
      <c r="G305" s="439"/>
      <c r="H305" s="439"/>
      <c r="I305" s="439"/>
      <c r="J305" s="439"/>
    </row>
    <row r="307" spans="1:10">
      <c r="A307" t="s">
        <v>555</v>
      </c>
    </row>
    <row r="308" spans="1:10">
      <c r="A308">
        <v>1</v>
      </c>
      <c r="B308" t="s">
        <v>568</v>
      </c>
    </row>
    <row r="309" spans="1:10">
      <c r="A309">
        <v>2</v>
      </c>
      <c r="B309" t="s">
        <v>569</v>
      </c>
    </row>
    <row r="310" spans="1:10">
      <c r="A310">
        <v>3</v>
      </c>
      <c r="B310" s="94" t="s">
        <v>621</v>
      </c>
    </row>
  </sheetData>
  <mergeCells count="5">
    <mergeCell ref="A170:J170"/>
    <mergeCell ref="A2:H2"/>
    <mergeCell ref="A305:J305"/>
    <mergeCell ref="F4:H4"/>
    <mergeCell ref="A3:H3"/>
  </mergeCells>
  <pageMargins left="0.7" right="0.7" top="0.32" bottom="0.39" header="0.3" footer="0.3"/>
  <pageSetup paperSize="9" scale="4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189"/>
  <sheetViews>
    <sheetView view="pageBreakPreview" topLeftCell="A158" zoomScale="80" zoomScaleNormal="100" zoomScaleSheetLayoutView="80" workbookViewId="0">
      <selection activeCell="A3" sqref="A3:J184"/>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38" t="s">
        <v>605</v>
      </c>
      <c r="B3" s="438"/>
      <c r="C3" s="438"/>
      <c r="D3" s="438"/>
      <c r="E3" s="438"/>
      <c r="F3" s="438"/>
      <c r="G3" s="438"/>
      <c r="H3" s="438"/>
    </row>
    <row r="4" spans="1:8" ht="18.75">
      <c r="A4" s="438" t="s">
        <v>606</v>
      </c>
      <c r="B4" s="438"/>
      <c r="C4" s="438"/>
      <c r="D4" s="438"/>
      <c r="E4" s="438"/>
      <c r="F4" s="438"/>
      <c r="G4" s="438"/>
      <c r="H4" s="438"/>
    </row>
    <row r="5" spans="1:8">
      <c r="A5" s="94" t="s">
        <v>163</v>
      </c>
      <c r="B5" s="236">
        <f>200/100</f>
        <v>2</v>
      </c>
      <c r="C5" s="94" t="s">
        <v>485</v>
      </c>
      <c r="D5" s="94"/>
      <c r="E5" s="94"/>
      <c r="F5" s="94"/>
      <c r="G5" s="94"/>
      <c r="H5" s="94"/>
    </row>
    <row r="6" spans="1:8">
      <c r="A6" s="94" t="s">
        <v>164</v>
      </c>
      <c r="B6" s="269">
        <v>8</v>
      </c>
      <c r="C6" s="94"/>
      <c r="D6" s="94"/>
      <c r="E6" s="94"/>
      <c r="F6" s="94"/>
      <c r="G6" s="94"/>
      <c r="H6" s="94"/>
    </row>
    <row r="7" spans="1:8">
      <c r="A7" s="94"/>
      <c r="B7" s="269"/>
      <c r="C7" s="94"/>
      <c r="D7" s="94"/>
      <c r="E7" s="94"/>
      <c r="F7" s="94"/>
      <c r="G7" s="94"/>
      <c r="H7" s="94"/>
    </row>
    <row r="8" spans="1:8">
      <c r="A8" s="94"/>
      <c r="B8" s="269"/>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02">
        <f>B32/($B$5*$B$6)</f>
        <v>122.76000000000002</v>
      </c>
      <c r="C12" s="302">
        <f t="shared" ref="C12:H12" si="0">C32/($B$5*$B$6)</f>
        <v>184.14000000000004</v>
      </c>
      <c r="D12" s="302">
        <f t="shared" si="0"/>
        <v>245.52000000000004</v>
      </c>
      <c r="E12" s="302">
        <f t="shared" si="0"/>
        <v>306.90000000000003</v>
      </c>
      <c r="F12" s="302">
        <f t="shared" si="0"/>
        <v>368.28</v>
      </c>
      <c r="G12" s="302">
        <f t="shared" si="0"/>
        <v>429.65999999999997</v>
      </c>
      <c r="H12" s="302">
        <f t="shared" si="0"/>
        <v>491.04</v>
      </c>
    </row>
    <row r="13" spans="1:8">
      <c r="A13" s="95" t="str">
        <f>'10.Grain Production details'!A67</f>
        <v>Soybean</v>
      </c>
      <c r="B13" s="95">
        <f>'10.Grain Production details'!B67</f>
        <v>1710.7200000000003</v>
      </c>
      <c r="C13" s="95">
        <f>'10.Grain Production details'!C67</f>
        <v>2566.0800000000004</v>
      </c>
      <c r="D13" s="95">
        <f>'10.Grain Production details'!D67</f>
        <v>3421.4400000000005</v>
      </c>
      <c r="E13" s="95">
        <f>'10.Grain Production details'!E67</f>
        <v>4276.8</v>
      </c>
      <c r="F13" s="95">
        <f>'10.Grain Production details'!F67</f>
        <v>5132.16</v>
      </c>
      <c r="G13" s="95">
        <f>'10.Grain Production details'!G67</f>
        <v>5987.5199999999995</v>
      </c>
      <c r="H13" s="95">
        <f>'10.Grain Production details'!H67</f>
        <v>6842.88</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0</v>
      </c>
      <c r="C17" s="95">
        <f>'10.Grain Production details'!C71</f>
        <v>0</v>
      </c>
      <c r="D17" s="95">
        <f>'10.Grain Production details'!D71</f>
        <v>0</v>
      </c>
      <c r="E17" s="95">
        <f>'10.Grain Production details'!E71</f>
        <v>0</v>
      </c>
      <c r="F17" s="95">
        <f>'10.Grain Production details'!F71</f>
        <v>0</v>
      </c>
      <c r="G17" s="95">
        <f>'10.Grain Production details'!G71</f>
        <v>0</v>
      </c>
      <c r="H17" s="95">
        <f>'10.Grain Production details'!H71</f>
        <v>0</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253.44000000000003</v>
      </c>
      <c r="C23" s="95">
        <f>'10.Grain Production details'!C77</f>
        <v>380.16000000000008</v>
      </c>
      <c r="D23" s="95">
        <f>'10.Grain Production details'!D77</f>
        <v>506.88000000000005</v>
      </c>
      <c r="E23" s="95">
        <f>'10.Grain Production details'!E77</f>
        <v>633.6</v>
      </c>
      <c r="F23" s="95">
        <f>'10.Grain Production details'!F77</f>
        <v>760.32</v>
      </c>
      <c r="G23" s="95">
        <f>'10.Grain Production details'!G77</f>
        <v>887.04</v>
      </c>
      <c r="H23" s="95">
        <f>'10.Grain Production details'!H77</f>
        <v>1013.76</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0</v>
      </c>
      <c r="C25" s="95">
        <f>'10.Grain Production details'!C79</f>
        <v>0</v>
      </c>
      <c r="D25" s="95">
        <f>'10.Grain Production details'!D79</f>
        <v>0</v>
      </c>
      <c r="E25" s="95">
        <f>'10.Grain Production details'!E79</f>
        <v>0</v>
      </c>
      <c r="F25" s="95">
        <f>'10.Grain Production details'!F79</f>
        <v>0</v>
      </c>
      <c r="G25" s="95">
        <f>'10.Grain Production details'!G79</f>
        <v>0</v>
      </c>
      <c r="H25" s="95">
        <f>'10.Grain Production details'!H79</f>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476</v>
      </c>
      <c r="B32" s="95">
        <f>SUM(B13:B31)</f>
        <v>1964.1600000000003</v>
      </c>
      <c r="C32" s="95">
        <f t="shared" ref="C32:H32" si="1">SUM(C13:C31)</f>
        <v>2946.2400000000007</v>
      </c>
      <c r="D32" s="95">
        <f t="shared" si="1"/>
        <v>3928.3200000000006</v>
      </c>
      <c r="E32" s="95">
        <f t="shared" si="1"/>
        <v>4910.4000000000005</v>
      </c>
      <c r="F32" s="95">
        <f t="shared" si="1"/>
        <v>5892.48</v>
      </c>
      <c r="G32" s="95">
        <f t="shared" si="1"/>
        <v>6874.5599999999995</v>
      </c>
      <c r="H32" s="95">
        <f t="shared" si="1"/>
        <v>7856.64</v>
      </c>
    </row>
    <row r="33" spans="1:8">
      <c r="A33" s="312" t="s">
        <v>167</v>
      </c>
      <c r="B33" s="268">
        <v>0.5</v>
      </c>
      <c r="C33" s="268">
        <f>B33</f>
        <v>0.5</v>
      </c>
      <c r="D33" s="268">
        <f t="shared" ref="D33:H33" si="2">C33</f>
        <v>0.5</v>
      </c>
      <c r="E33" s="268">
        <f t="shared" si="2"/>
        <v>0.5</v>
      </c>
      <c r="F33" s="268">
        <f t="shared" si="2"/>
        <v>0.5</v>
      </c>
      <c r="G33" s="268">
        <f t="shared" si="2"/>
        <v>0.5</v>
      </c>
      <c r="H33" s="268">
        <f t="shared" si="2"/>
        <v>0.5</v>
      </c>
    </row>
    <row r="34" spans="1:8">
      <c r="A34" s="99" t="s">
        <v>486</v>
      </c>
      <c r="B34" s="313">
        <f>1-B33</f>
        <v>0.5</v>
      </c>
      <c r="C34" s="313">
        <f t="shared" ref="C34:H34" si="3">1-C33</f>
        <v>0.5</v>
      </c>
      <c r="D34" s="313">
        <f t="shared" si="3"/>
        <v>0.5</v>
      </c>
      <c r="E34" s="313">
        <f t="shared" si="3"/>
        <v>0.5</v>
      </c>
      <c r="F34" s="313">
        <f t="shared" si="3"/>
        <v>0.5</v>
      </c>
      <c r="G34" s="313">
        <f t="shared" si="3"/>
        <v>0.5</v>
      </c>
      <c r="H34" s="313">
        <f t="shared" si="3"/>
        <v>0.5</v>
      </c>
    </row>
    <row r="35" spans="1:8">
      <c r="A35" s="97" t="s">
        <v>167</v>
      </c>
      <c r="B35" s="247">
        <f>B32*B33</f>
        <v>982.08000000000015</v>
      </c>
      <c r="C35" s="247">
        <f t="shared" ref="C35:H35" si="4">C32*C33</f>
        <v>1473.1200000000003</v>
      </c>
      <c r="D35" s="247">
        <f t="shared" si="4"/>
        <v>1964.1600000000003</v>
      </c>
      <c r="E35" s="247">
        <f t="shared" si="4"/>
        <v>2455.2000000000003</v>
      </c>
      <c r="F35" s="247">
        <f t="shared" si="4"/>
        <v>2946.24</v>
      </c>
      <c r="G35" s="247">
        <f t="shared" si="4"/>
        <v>3437.2799999999997</v>
      </c>
      <c r="H35" s="247">
        <f t="shared" si="4"/>
        <v>3928.32</v>
      </c>
    </row>
    <row r="36" spans="1:8">
      <c r="A36" s="97" t="s">
        <v>168</v>
      </c>
      <c r="B36" s="115"/>
      <c r="C36" s="115"/>
      <c r="D36" s="115"/>
      <c r="E36" s="115"/>
      <c r="F36" s="115"/>
      <c r="G36" s="115"/>
      <c r="H36" s="115"/>
    </row>
    <row r="37" spans="1:8">
      <c r="A37" s="95" t="str">
        <f t="shared" ref="A37:A55" si="5">A13</f>
        <v>Soybean</v>
      </c>
      <c r="B37" s="96">
        <f t="shared" ref="B37:B55" si="6">B13*$B$34</f>
        <v>855.36000000000013</v>
      </c>
      <c r="C37" s="96">
        <f t="shared" ref="C37:H37" si="7">C13*$B$34</f>
        <v>1283.0400000000002</v>
      </c>
      <c r="D37" s="96">
        <f t="shared" si="7"/>
        <v>1710.7200000000003</v>
      </c>
      <c r="E37" s="96">
        <f t="shared" si="7"/>
        <v>2138.4</v>
      </c>
      <c r="F37" s="96">
        <f t="shared" si="7"/>
        <v>2566.08</v>
      </c>
      <c r="G37" s="96">
        <f t="shared" si="7"/>
        <v>2993.7599999999998</v>
      </c>
      <c r="H37" s="96">
        <f t="shared" si="7"/>
        <v>3421.44</v>
      </c>
    </row>
    <row r="38" spans="1:8">
      <c r="A38" s="95" t="str">
        <f t="shared" si="5"/>
        <v>Red Gram/Tur</v>
      </c>
      <c r="B38" s="96">
        <f t="shared" si="6"/>
        <v>0</v>
      </c>
      <c r="C38" s="96">
        <f t="shared" ref="C38:C55" si="8">C14*$C$34</f>
        <v>0</v>
      </c>
      <c r="D38" s="96">
        <f t="shared" ref="D38:D55" si="9">D14*$D$34</f>
        <v>0</v>
      </c>
      <c r="E38" s="96">
        <f t="shared" ref="E38:E55" si="10">E14*$E$34</f>
        <v>0</v>
      </c>
      <c r="F38" s="96">
        <f t="shared" ref="F38:F55" si="11">F14*$F$34</f>
        <v>0</v>
      </c>
      <c r="G38" s="96">
        <f t="shared" ref="G38:G55" si="12">G14*$G$34</f>
        <v>0</v>
      </c>
      <c r="H38" s="96">
        <f t="shared" ref="H38:H55" si="13">H14*$H$34</f>
        <v>0</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0</v>
      </c>
      <c r="C40" s="96">
        <f t="shared" si="8"/>
        <v>0</v>
      </c>
      <c r="D40" s="96">
        <f t="shared" si="9"/>
        <v>0</v>
      </c>
      <c r="E40" s="96">
        <f t="shared" si="10"/>
        <v>0</v>
      </c>
      <c r="F40" s="96">
        <f t="shared" si="11"/>
        <v>0</v>
      </c>
      <c r="G40" s="96">
        <f t="shared" si="12"/>
        <v>0</v>
      </c>
      <c r="H40" s="96">
        <f t="shared" si="13"/>
        <v>0</v>
      </c>
    </row>
    <row r="41" spans="1:8">
      <c r="A41" s="95" t="str">
        <f t="shared" si="5"/>
        <v>Maize</v>
      </c>
      <c r="B41" s="96">
        <f t="shared" si="6"/>
        <v>0</v>
      </c>
      <c r="C41" s="96">
        <f t="shared" si="8"/>
        <v>0</v>
      </c>
      <c r="D41" s="96">
        <f t="shared" si="9"/>
        <v>0</v>
      </c>
      <c r="E41" s="96">
        <f t="shared" si="10"/>
        <v>0</v>
      </c>
      <c r="F41" s="96">
        <f t="shared" si="11"/>
        <v>0</v>
      </c>
      <c r="G41" s="96">
        <f t="shared" si="12"/>
        <v>0</v>
      </c>
      <c r="H41" s="96">
        <f t="shared" si="13"/>
        <v>0</v>
      </c>
    </row>
    <row r="42" spans="1:8">
      <c r="A42" s="95" t="str">
        <f t="shared" si="5"/>
        <v>Black Gram/Udid</v>
      </c>
      <c r="B42" s="96">
        <f t="shared" si="6"/>
        <v>0</v>
      </c>
      <c r="C42" s="96">
        <f t="shared" si="8"/>
        <v>0</v>
      </c>
      <c r="D42" s="96">
        <f t="shared" si="9"/>
        <v>0</v>
      </c>
      <c r="E42" s="96">
        <f t="shared" si="10"/>
        <v>0</v>
      </c>
      <c r="F42" s="96">
        <f t="shared" si="11"/>
        <v>0</v>
      </c>
      <c r="G42" s="96">
        <f t="shared" si="12"/>
        <v>0</v>
      </c>
      <c r="H42" s="96">
        <f t="shared" si="13"/>
        <v>0</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0</v>
      </c>
      <c r="C46" s="96">
        <f t="shared" si="8"/>
        <v>0</v>
      </c>
      <c r="D46" s="96">
        <f t="shared" si="9"/>
        <v>0</v>
      </c>
      <c r="E46" s="96">
        <f t="shared" si="10"/>
        <v>0</v>
      </c>
      <c r="F46" s="96">
        <f t="shared" si="11"/>
        <v>0</v>
      </c>
      <c r="G46" s="96">
        <f t="shared" si="12"/>
        <v>0</v>
      </c>
      <c r="H46" s="96">
        <f t="shared" si="13"/>
        <v>0</v>
      </c>
    </row>
    <row r="47" spans="1:8">
      <c r="A47" s="95" t="str">
        <f t="shared" si="5"/>
        <v>Bengal Gram/Channa</v>
      </c>
      <c r="B47" s="96">
        <f t="shared" si="6"/>
        <v>126.72000000000001</v>
      </c>
      <c r="C47" s="96">
        <f t="shared" si="8"/>
        <v>190.08000000000004</v>
      </c>
      <c r="D47" s="96">
        <f t="shared" si="9"/>
        <v>253.44000000000003</v>
      </c>
      <c r="E47" s="96">
        <f t="shared" si="10"/>
        <v>316.8</v>
      </c>
      <c r="F47" s="96">
        <f t="shared" si="11"/>
        <v>380.16</v>
      </c>
      <c r="G47" s="96">
        <f t="shared" si="12"/>
        <v>443.52</v>
      </c>
      <c r="H47" s="96">
        <f t="shared" si="13"/>
        <v>506.88</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0</v>
      </c>
      <c r="C49" s="96">
        <f t="shared" si="8"/>
        <v>0</v>
      </c>
      <c r="D49" s="96">
        <f t="shared" si="9"/>
        <v>0</v>
      </c>
      <c r="E49" s="96">
        <f t="shared" si="10"/>
        <v>0</v>
      </c>
      <c r="F49" s="96">
        <f t="shared" si="11"/>
        <v>0</v>
      </c>
      <c r="G49" s="96">
        <f t="shared" si="12"/>
        <v>0</v>
      </c>
      <c r="H49" s="96">
        <f t="shared" si="13"/>
        <v>0</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288</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81"/>
      <c r="C62" s="181"/>
      <c r="D62" s="181"/>
      <c r="E62" s="181"/>
      <c r="F62" s="181"/>
      <c r="G62" s="181"/>
      <c r="H62" s="181"/>
    </row>
    <row r="63" spans="1:8">
      <c r="A63" s="95" t="s">
        <v>477</v>
      </c>
      <c r="B63" s="181">
        <f>B38*80%</f>
        <v>0</v>
      </c>
      <c r="C63" s="181">
        <f t="shared" ref="C63:H63" si="14">C38*80%</f>
        <v>0</v>
      </c>
      <c r="D63" s="181">
        <f t="shared" si="14"/>
        <v>0</v>
      </c>
      <c r="E63" s="181">
        <f t="shared" si="14"/>
        <v>0</v>
      </c>
      <c r="F63" s="181">
        <f t="shared" si="14"/>
        <v>0</v>
      </c>
      <c r="G63" s="181">
        <f t="shared" si="14"/>
        <v>0</v>
      </c>
      <c r="H63" s="181">
        <f t="shared" si="14"/>
        <v>0</v>
      </c>
    </row>
    <row r="64" spans="1:8">
      <c r="A64" s="95" t="s">
        <v>142</v>
      </c>
      <c r="B64" s="181">
        <f>B38*20%</f>
        <v>0</v>
      </c>
      <c r="C64" s="181">
        <f t="shared" ref="C64:H64" si="15">C38*20%</f>
        <v>0</v>
      </c>
      <c r="D64" s="181">
        <f t="shared" si="15"/>
        <v>0</v>
      </c>
      <c r="E64" s="181">
        <f t="shared" si="15"/>
        <v>0</v>
      </c>
      <c r="F64" s="181">
        <f t="shared" si="15"/>
        <v>0</v>
      </c>
      <c r="G64" s="181">
        <f t="shared" si="15"/>
        <v>0</v>
      </c>
      <c r="H64" s="181">
        <f t="shared" si="15"/>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477</v>
      </c>
      <c r="B70" s="96">
        <f>B40*80%</f>
        <v>0</v>
      </c>
      <c r="C70" s="96">
        <f t="shared" ref="C70:H70" si="16">C40*80%</f>
        <v>0</v>
      </c>
      <c r="D70" s="96">
        <f t="shared" si="16"/>
        <v>0</v>
      </c>
      <c r="E70" s="96">
        <f t="shared" si="16"/>
        <v>0</v>
      </c>
      <c r="F70" s="96">
        <f t="shared" si="16"/>
        <v>0</v>
      </c>
      <c r="G70" s="96">
        <f t="shared" si="16"/>
        <v>0</v>
      </c>
      <c r="H70" s="96">
        <f t="shared" si="16"/>
        <v>0</v>
      </c>
    </row>
    <row r="71" spans="1:8">
      <c r="A71" s="95" t="s">
        <v>142</v>
      </c>
      <c r="B71" s="96">
        <f>B40*20%</f>
        <v>0</v>
      </c>
      <c r="C71" s="96">
        <f t="shared" ref="C71:H71" si="17">C40*20%</f>
        <v>0</v>
      </c>
      <c r="D71" s="96">
        <f t="shared" si="17"/>
        <v>0</v>
      </c>
      <c r="E71" s="96">
        <f t="shared" si="17"/>
        <v>0</v>
      </c>
      <c r="F71" s="96">
        <f t="shared" si="17"/>
        <v>0</v>
      </c>
      <c r="G71" s="96">
        <f t="shared" si="17"/>
        <v>0</v>
      </c>
      <c r="H71" s="96">
        <f t="shared" si="17"/>
        <v>0</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477</v>
      </c>
      <c r="B78" s="96">
        <f t="shared" ref="B78:H78" si="18">B42*80%</f>
        <v>0</v>
      </c>
      <c r="C78" s="96">
        <f t="shared" si="18"/>
        <v>0</v>
      </c>
      <c r="D78" s="96">
        <f t="shared" si="18"/>
        <v>0</v>
      </c>
      <c r="E78" s="96">
        <f t="shared" si="18"/>
        <v>0</v>
      </c>
      <c r="F78" s="96">
        <f t="shared" si="18"/>
        <v>0</v>
      </c>
      <c r="G78" s="96">
        <f t="shared" si="18"/>
        <v>0</v>
      </c>
      <c r="H78" s="96">
        <f t="shared" si="18"/>
        <v>0</v>
      </c>
    </row>
    <row r="79" spans="1:8">
      <c r="A79" s="95" t="s">
        <v>142</v>
      </c>
      <c r="B79" s="96">
        <f t="shared" ref="B79:H79" si="19">B42*20%</f>
        <v>0</v>
      </c>
      <c r="C79" s="96">
        <f t="shared" si="19"/>
        <v>0</v>
      </c>
      <c r="D79" s="96">
        <f t="shared" si="19"/>
        <v>0</v>
      </c>
      <c r="E79" s="96">
        <f t="shared" si="19"/>
        <v>0</v>
      </c>
      <c r="F79" s="96">
        <f t="shared" si="19"/>
        <v>0</v>
      </c>
      <c r="G79" s="96">
        <f t="shared" si="19"/>
        <v>0</v>
      </c>
      <c r="H79" s="96">
        <f t="shared" si="19"/>
        <v>0</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477</v>
      </c>
      <c r="B95" s="96">
        <f t="shared" ref="B95:H95" si="20">B47*80%</f>
        <v>101.37600000000002</v>
      </c>
      <c r="C95" s="96">
        <f t="shared" si="20"/>
        <v>152.06400000000005</v>
      </c>
      <c r="D95" s="96">
        <f t="shared" si="20"/>
        <v>202.75200000000004</v>
      </c>
      <c r="E95" s="96">
        <f t="shared" si="20"/>
        <v>253.44000000000003</v>
      </c>
      <c r="F95" s="96">
        <f t="shared" si="20"/>
        <v>304.12800000000004</v>
      </c>
      <c r="G95" s="96">
        <f t="shared" si="20"/>
        <v>354.81600000000003</v>
      </c>
      <c r="H95" s="96">
        <f t="shared" si="20"/>
        <v>405.50400000000002</v>
      </c>
    </row>
    <row r="96" spans="1:8">
      <c r="A96" s="95" t="s">
        <v>142</v>
      </c>
      <c r="B96" s="96">
        <f t="shared" ref="B96:H96" si="21">B47*20%</f>
        <v>25.344000000000005</v>
      </c>
      <c r="C96" s="96">
        <f t="shared" si="21"/>
        <v>38.016000000000012</v>
      </c>
      <c r="D96" s="96">
        <f t="shared" si="21"/>
        <v>50.688000000000009</v>
      </c>
      <c r="E96" s="96">
        <f t="shared" si="21"/>
        <v>63.360000000000007</v>
      </c>
      <c r="F96" s="96">
        <f t="shared" si="21"/>
        <v>76.032000000000011</v>
      </c>
      <c r="G96" s="96">
        <f t="shared" si="21"/>
        <v>88.704000000000008</v>
      </c>
      <c r="H96" s="96">
        <f t="shared" si="21"/>
        <v>101.376</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76"/>
      <c r="B122" s="295"/>
      <c r="C122" s="295"/>
      <c r="D122" s="295"/>
      <c r="E122" s="295"/>
      <c r="F122" s="295"/>
      <c r="G122" s="295"/>
      <c r="H122" s="295"/>
    </row>
    <row r="123" spans="1:8">
      <c r="A123" s="176"/>
      <c r="B123" s="295"/>
      <c r="C123" s="295"/>
      <c r="D123" s="295"/>
      <c r="E123" s="295"/>
      <c r="F123" s="295"/>
      <c r="G123" s="295"/>
      <c r="H123" s="295"/>
    </row>
    <row r="124" spans="1:8">
      <c r="A124" s="177" t="s">
        <v>463</v>
      </c>
      <c r="B124">
        <v>50</v>
      </c>
    </row>
    <row r="131" spans="1:10" ht="18.75">
      <c r="A131" s="438" t="s">
        <v>607</v>
      </c>
      <c r="B131" s="438"/>
      <c r="C131" s="438"/>
      <c r="D131" s="438"/>
      <c r="E131" s="438"/>
      <c r="F131" s="438"/>
      <c r="G131" s="438"/>
      <c r="H131" s="438"/>
      <c r="I131" s="438"/>
      <c r="J131" s="438"/>
    </row>
    <row r="132" spans="1:10">
      <c r="A132" s="60"/>
      <c r="B132" s="62"/>
      <c r="C132" s="62"/>
      <c r="D132" s="60"/>
      <c r="E132" s="60"/>
      <c r="F132" s="60"/>
      <c r="G132" s="60"/>
      <c r="H132" s="60"/>
    </row>
    <row r="133" spans="1:10">
      <c r="A133" s="182"/>
      <c r="B133" s="182"/>
      <c r="C133" s="182"/>
      <c r="D133" s="183">
        <v>1</v>
      </c>
      <c r="E133" s="184">
        <f>(D133*5%)+D133</f>
        <v>1.05</v>
      </c>
      <c r="F133" s="184">
        <f t="shared" ref="F133:J133" si="22">(E133*5%)+E133</f>
        <v>1.1025</v>
      </c>
      <c r="G133" s="184">
        <f t="shared" si="22"/>
        <v>1.1576250000000001</v>
      </c>
      <c r="H133" s="184">
        <f t="shared" si="22"/>
        <v>1.2155062500000002</v>
      </c>
      <c r="I133" s="184">
        <f t="shared" si="22"/>
        <v>1.2762815625000004</v>
      </c>
      <c r="J133" s="184">
        <f t="shared" si="22"/>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321</v>
      </c>
      <c r="B138" s="97"/>
      <c r="C138" s="97"/>
      <c r="D138" s="95"/>
      <c r="E138" s="95"/>
      <c r="F138" s="95"/>
      <c r="G138" s="95"/>
      <c r="H138" s="95"/>
      <c r="I138" s="95"/>
      <c r="J138" s="95"/>
    </row>
    <row r="139" spans="1:10">
      <c r="A139" s="95" t="s">
        <v>165</v>
      </c>
      <c r="B139" s="223" t="s">
        <v>367</v>
      </c>
      <c r="C139" s="223">
        <f>70*50</f>
        <v>3500</v>
      </c>
      <c r="D139" s="96">
        <f>(((B95*100)*(1-'5.Closing Stock &amp; W Capital'!$D$17))/$B$124)*$C$139*D133</f>
        <v>674150.40000000002</v>
      </c>
      <c r="E139" s="96">
        <f>E133*((((C95*100)*(1-'5.Closing Stock &amp; W Capital'!$D$17))+((B95*100)*'5.Closing Stock &amp; W Capital'!$D$17))/$B$124)*$C$139</f>
        <v>1099042.5600000003</v>
      </c>
      <c r="F139" s="96">
        <f>F133*((((D95*100)*(1-'5.Closing Stock &amp; W Capital'!$D$17))+((C95*100)*'5.Closing Stock &amp; W Capital'!$D$17))/$B$124)*$C$139</f>
        <v>1545179.3280000004</v>
      </c>
      <c r="G139" s="96">
        <f>G133*((((E95*100)*(1-'5.Closing Stock &amp; W Capital'!$D$17))+((D95*100)*'5.Closing Stock &amp; W Capital'!$D$17))/$B$124)*$C$139</f>
        <v>2033182.1664000007</v>
      </c>
      <c r="H139" s="96">
        <f>H133*((((F95*100)*(1-'5.Closing Stock &amp; W Capital'!$D$17))+((E95*100)*'5.Closing Stock &amp; W Capital'!$D$17))/$B$124)*$C$139</f>
        <v>2566122.3403200004</v>
      </c>
      <c r="I139" s="96">
        <f>I133*((((G95*100)*(1-'5.Closing Stock &amp; W Capital'!$D$17))+((F95*100)*'5.Closing Stock &amp; W Capital'!$D$17))/$B$124)*$C$139</f>
        <v>3147273.5762160011</v>
      </c>
      <c r="J139" s="96">
        <f>J133*((((H95*100)*(1-'5.Closing Stock &amp; W Capital'!$D$17))+((G95*100)*'5.Closing Stock &amp; W Capital'!$D$17))/$B$124)*$C$139</f>
        <v>3780124.6298508011</v>
      </c>
    </row>
    <row r="140" spans="1:10">
      <c r="A140" s="95" t="s">
        <v>166</v>
      </c>
      <c r="B140" s="223" t="s">
        <v>367</v>
      </c>
      <c r="C140" s="223">
        <f>75*50</f>
        <v>3750</v>
      </c>
      <c r="D140" s="96">
        <f>(((B63*100)*(1-'5.Closing Stock &amp; W Capital'!$D$17))/B124)*$C$140*D133</f>
        <v>0</v>
      </c>
      <c r="E140" s="96">
        <f>((((C63*100)*(1-'5.Closing Stock &amp; W Capital'!$D$17))+((B63*100)*'5.Closing Stock &amp; W Capital'!$D$17))/$B$124)*$C$140*E133</f>
        <v>0</v>
      </c>
      <c r="F140" s="96">
        <f>((((D63*100)*(1-'5.Closing Stock &amp; W Capital'!$D$17))+((C63*100)*'5.Closing Stock &amp; W Capital'!$D$17))/$B$124)*$C$140*F133</f>
        <v>0</v>
      </c>
      <c r="G140" s="96">
        <f>((((E63*100)*(1-'5.Closing Stock &amp; W Capital'!$D$17))+((D63*100)*'5.Closing Stock &amp; W Capital'!$D$17))/$B$124)*$C$140*G133</f>
        <v>0</v>
      </c>
      <c r="H140" s="96">
        <f>((((F63*100)*(1-'5.Closing Stock &amp; W Capital'!$D$17))+((E63*100)*'5.Closing Stock &amp; W Capital'!$D$17))/$B$124)*$C$140*H133</f>
        <v>0</v>
      </c>
      <c r="I140" s="96">
        <f>((((G63*100)*(1-'5.Closing Stock &amp; W Capital'!$D$17))+((F63*100)*'5.Closing Stock &amp; W Capital'!$D$17))/$B$124)*$C$140*I133</f>
        <v>0</v>
      </c>
      <c r="J140" s="96">
        <f>((((H63*100)*(1-'5.Closing Stock &amp; W Capital'!$D$17))+((G63*100)*'5.Closing Stock &amp; W Capital'!$D$17))/$B$124)*$C$140*J133</f>
        <v>0</v>
      </c>
    </row>
    <row r="141" spans="1:10">
      <c r="A141" s="95" t="s">
        <v>322</v>
      </c>
      <c r="B141" s="223" t="s">
        <v>367</v>
      </c>
      <c r="C141" s="223">
        <f>80*50</f>
        <v>4000</v>
      </c>
      <c r="D141" s="96">
        <f>(((B78*100)*(1-'5.Closing Stock &amp; W Capital'!D17))/$B$124)*$C$141*D133</f>
        <v>0</v>
      </c>
      <c r="E141" s="96">
        <f>((((C78*100)*(1-'5.Closing Stock &amp; W Capital'!$D$17))+((B78*100)*'5.Closing Stock &amp; W Capital'!$D$17))/$B$124)*$C$141*E133</f>
        <v>0</v>
      </c>
      <c r="F141" s="96">
        <f>((((D78*100)*(1-'5.Closing Stock &amp; W Capital'!$D$17))+((C78*100)*'5.Closing Stock &amp; W Capital'!$D$17))/$B$124)*$C$141*F133</f>
        <v>0</v>
      </c>
      <c r="G141" s="96">
        <f>((((E78*100)*(1-'5.Closing Stock &amp; W Capital'!$D$17))+((D78*100)*'5.Closing Stock &amp; W Capital'!$D$17))/$B$124)*$C$141*G133</f>
        <v>0</v>
      </c>
      <c r="H141" s="96">
        <f>((((F78*100)*(1-'5.Closing Stock &amp; W Capital'!$D$17))+((E78*100)*'5.Closing Stock &amp; W Capital'!$D$17))/$B$124)*$C$141*H133</f>
        <v>0</v>
      </c>
      <c r="I141" s="96">
        <f>((((G78*100)*(1-'5.Closing Stock &amp; W Capital'!$D$17))+((F78*100)*'5.Closing Stock &amp; W Capital'!$D$17))/$B$124)*$C$141*I133</f>
        <v>0</v>
      </c>
      <c r="J141" s="96">
        <f>((((H78*100)*(1-'5.Closing Stock &amp; W Capital'!$D$17))+((G78*100)*'5.Closing Stock &amp; W Capital'!$D$17))/$B$124)*$C$141*J133</f>
        <v>0</v>
      </c>
    </row>
    <row r="142" spans="1:10">
      <c r="A142" s="95" t="s">
        <v>320</v>
      </c>
      <c r="B142" s="223" t="s">
        <v>367</v>
      </c>
      <c r="C142" s="223">
        <f>80*50</f>
        <v>4000</v>
      </c>
      <c r="D142" s="96">
        <f>(((B70*100)*(1-'5.Closing Stock &amp; W Capital'!D17))/B124)*$C$142*D133</f>
        <v>0</v>
      </c>
      <c r="E142" s="96">
        <f>((((C70*100)*(1-'5.Closing Stock &amp; W Capital'!$D$17))+((B70*100)*'5.Closing Stock &amp; W Capital'!$D$17))/$B$124)*$C$142*E133</f>
        <v>0</v>
      </c>
      <c r="F142" s="96">
        <f>((((D70*100)*(1-'5.Closing Stock &amp; W Capital'!$D$17))+((C70*100)*'5.Closing Stock &amp; W Capital'!$D$17))/$B$124)*$C$142*F133</f>
        <v>0</v>
      </c>
      <c r="G142" s="96">
        <f>((((E70*100)*(1-'5.Closing Stock &amp; W Capital'!$D$17))+((D70*100)*'5.Closing Stock &amp; W Capital'!$D$17))/$B$124)*$C$142*G133</f>
        <v>0</v>
      </c>
      <c r="H142" s="96">
        <f>((((F70*100)*(1-'5.Closing Stock &amp; W Capital'!$D$17))+((E70*100)*'5.Closing Stock &amp; W Capital'!$D$17))/$B$124)*$C$142*H133</f>
        <v>0</v>
      </c>
      <c r="I142" s="96">
        <f>((((G70*100)*(1-'5.Closing Stock &amp; W Capital'!$D$17))+((F70*100)*'5.Closing Stock &amp; W Capital'!$D$17))/$B$124)*$C$142*I133</f>
        <v>0</v>
      </c>
      <c r="J142" s="96">
        <f>((((H70*100)*(1-'5.Closing Stock &amp; W Capital'!$D$17))+((G70*100)*'5.Closing Stock &amp; W Capital'!$D$17))/$B$124)*$C$142*J133</f>
        <v>0</v>
      </c>
    </row>
    <row r="143" spans="1:10">
      <c r="A143" s="95"/>
      <c r="B143" s="95"/>
      <c r="C143" s="95"/>
      <c r="D143" s="96"/>
      <c r="E143" s="96"/>
      <c r="F143" s="96"/>
      <c r="G143" s="96"/>
      <c r="H143" s="96"/>
      <c r="I143" s="96"/>
      <c r="J143" s="96"/>
    </row>
    <row r="144" spans="1:10">
      <c r="A144" s="97" t="s">
        <v>142</v>
      </c>
      <c r="B144" s="228" t="s">
        <v>368</v>
      </c>
      <c r="C144" s="228">
        <v>10</v>
      </c>
      <c r="D144" s="96">
        <f t="shared" ref="D144:J144" si="23">((B63+B95+B78+B70)*100)*$C$144*D133</f>
        <v>101376.00000000003</v>
      </c>
      <c r="E144" s="96">
        <f t="shared" si="23"/>
        <v>159667.20000000007</v>
      </c>
      <c r="F144" s="96">
        <f t="shared" si="23"/>
        <v>223534.08000000007</v>
      </c>
      <c r="G144" s="96">
        <f t="shared" si="23"/>
        <v>293388.48000000004</v>
      </c>
      <c r="H144" s="96">
        <f t="shared" si="23"/>
        <v>369669.48480000009</v>
      </c>
      <c r="I144" s="96">
        <f t="shared" si="23"/>
        <v>452845.1188800002</v>
      </c>
      <c r="J144" s="96">
        <f t="shared" si="23"/>
        <v>543414.14265600021</v>
      </c>
    </row>
    <row r="145" spans="1:11">
      <c r="A145" s="95"/>
      <c r="B145" s="223"/>
      <c r="C145" s="223"/>
      <c r="D145" s="96"/>
      <c r="E145" s="96"/>
      <c r="F145" s="96"/>
      <c r="G145" s="96"/>
      <c r="H145" s="96"/>
      <c r="I145" s="96"/>
      <c r="J145" s="96"/>
      <c r="K145" s="63">
        <f>[2]Output!T58*70*K133</f>
        <v>0</v>
      </c>
    </row>
    <row r="146" spans="1:11">
      <c r="A146" s="97" t="s">
        <v>297</v>
      </c>
      <c r="B146" s="228" t="s">
        <v>368</v>
      </c>
      <c r="C146" s="223">
        <v>6</v>
      </c>
      <c r="D146" s="96">
        <f t="shared" ref="D146:J146" si="24">(B35*100)*$C$146*D133</f>
        <v>589248.00000000012</v>
      </c>
      <c r="E146" s="96">
        <f t="shared" si="24"/>
        <v>928065.60000000033</v>
      </c>
      <c r="F146" s="96">
        <f t="shared" si="24"/>
        <v>1299291.8400000003</v>
      </c>
      <c r="G146" s="96">
        <f t="shared" si="24"/>
        <v>1705320.5400000005</v>
      </c>
      <c r="H146" s="96">
        <f t="shared" si="24"/>
        <v>2148703.8804000006</v>
      </c>
      <c r="I146" s="96">
        <f t="shared" si="24"/>
        <v>2632162.253490001</v>
      </c>
      <c r="J146" s="96">
        <f t="shared" si="24"/>
        <v>3158594.7041880009</v>
      </c>
    </row>
    <row r="147" spans="1:11">
      <c r="A147" s="95"/>
      <c r="B147" s="95"/>
      <c r="C147" s="95"/>
      <c r="D147" s="96"/>
      <c r="E147" s="96"/>
      <c r="F147" s="96"/>
      <c r="G147" s="96"/>
      <c r="H147" s="96"/>
      <c r="I147" s="96"/>
      <c r="J147" s="96"/>
    </row>
    <row r="148" spans="1:11">
      <c r="A148" s="97" t="s">
        <v>127</v>
      </c>
      <c r="B148" s="97"/>
      <c r="C148" s="97"/>
      <c r="D148" s="115">
        <f>SUM(D139:D146)</f>
        <v>1364774.4000000001</v>
      </c>
      <c r="E148" s="115">
        <f t="shared" ref="E148:J148" si="25">SUM(E139:E146)</f>
        <v>2186775.3600000003</v>
      </c>
      <c r="F148" s="115">
        <f t="shared" si="25"/>
        <v>3068005.2480000006</v>
      </c>
      <c r="G148" s="115">
        <f t="shared" si="25"/>
        <v>4031891.1864000014</v>
      </c>
      <c r="H148" s="115">
        <f t="shared" si="25"/>
        <v>5084495.7055200012</v>
      </c>
      <c r="I148" s="115">
        <f t="shared" si="25"/>
        <v>6232280.948586002</v>
      </c>
      <c r="J148" s="115">
        <f t="shared" si="25"/>
        <v>7482133.4766948018</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315</v>
      </c>
      <c r="B151" s="97"/>
      <c r="C151" s="95"/>
      <c r="D151" s="96"/>
      <c r="E151" s="96"/>
      <c r="F151" s="96"/>
      <c r="G151" s="96"/>
      <c r="H151" s="96"/>
      <c r="I151" s="96"/>
      <c r="J151" s="96"/>
    </row>
    <row r="152" spans="1:11">
      <c r="A152" s="99" t="s">
        <v>165</v>
      </c>
      <c r="B152" s="223" t="s">
        <v>369</v>
      </c>
      <c r="C152" s="243">
        <v>5000</v>
      </c>
      <c r="D152" s="96">
        <f t="shared" ref="D152:J152" si="26">(B47)*$C$152*D133</f>
        <v>633600.00000000012</v>
      </c>
      <c r="E152" s="96">
        <f t="shared" si="26"/>
        <v>997920.00000000023</v>
      </c>
      <c r="F152" s="96">
        <f t="shared" si="26"/>
        <v>1397088.0000000002</v>
      </c>
      <c r="G152" s="96">
        <f t="shared" si="26"/>
        <v>1833678.0000000002</v>
      </c>
      <c r="H152" s="96">
        <f t="shared" si="26"/>
        <v>2310434.2800000007</v>
      </c>
      <c r="I152" s="96">
        <f t="shared" si="26"/>
        <v>2830281.9930000007</v>
      </c>
      <c r="J152" s="96">
        <f t="shared" si="26"/>
        <v>3396338.3916000011</v>
      </c>
    </row>
    <row r="153" spans="1:11">
      <c r="A153" s="95" t="s">
        <v>323</v>
      </c>
      <c r="B153" s="223" t="s">
        <v>369</v>
      </c>
      <c r="C153" s="243">
        <v>5800</v>
      </c>
      <c r="D153" s="96">
        <f t="shared" ref="D153:J153" si="27">(B38)*$C$153*D133</f>
        <v>0</v>
      </c>
      <c r="E153" s="96">
        <f t="shared" si="27"/>
        <v>0</v>
      </c>
      <c r="F153" s="96">
        <f t="shared" si="27"/>
        <v>0</v>
      </c>
      <c r="G153" s="96">
        <f t="shared" si="27"/>
        <v>0</v>
      </c>
      <c r="H153" s="96">
        <f t="shared" si="27"/>
        <v>0</v>
      </c>
      <c r="I153" s="96">
        <f t="shared" si="27"/>
        <v>0</v>
      </c>
      <c r="J153" s="96">
        <f t="shared" si="27"/>
        <v>0</v>
      </c>
    </row>
    <row r="154" spans="1:11">
      <c r="A154" s="95" t="s">
        <v>324</v>
      </c>
      <c r="B154" s="223" t="s">
        <v>369</v>
      </c>
      <c r="C154" s="243">
        <v>5800</v>
      </c>
      <c r="D154" s="96">
        <f t="shared" ref="D154:J154" si="28">(B42)*$C$154*D133</f>
        <v>0</v>
      </c>
      <c r="E154" s="96">
        <f t="shared" si="28"/>
        <v>0</v>
      </c>
      <c r="F154" s="96">
        <f t="shared" si="28"/>
        <v>0</v>
      </c>
      <c r="G154" s="96">
        <f t="shared" si="28"/>
        <v>0</v>
      </c>
      <c r="H154" s="96">
        <f t="shared" si="28"/>
        <v>0</v>
      </c>
      <c r="I154" s="96">
        <f t="shared" si="28"/>
        <v>0</v>
      </c>
      <c r="J154" s="96">
        <f t="shared" si="28"/>
        <v>0</v>
      </c>
    </row>
    <row r="155" spans="1:11">
      <c r="A155" s="95" t="s">
        <v>320</v>
      </c>
      <c r="B155" s="223" t="s">
        <v>369</v>
      </c>
      <c r="C155" s="243">
        <v>6200</v>
      </c>
      <c r="D155" s="96">
        <f t="shared" ref="D155:J155" si="29">(B40)*$C$155*D133</f>
        <v>0</v>
      </c>
      <c r="E155" s="96">
        <f t="shared" si="29"/>
        <v>0</v>
      </c>
      <c r="F155" s="96">
        <f t="shared" si="29"/>
        <v>0</v>
      </c>
      <c r="G155" s="96">
        <f t="shared" si="29"/>
        <v>0</v>
      </c>
      <c r="H155" s="96">
        <f t="shared" si="29"/>
        <v>0</v>
      </c>
      <c r="I155" s="96">
        <f t="shared" si="29"/>
        <v>0</v>
      </c>
      <c r="J155" s="96">
        <f t="shared" si="29"/>
        <v>0</v>
      </c>
    </row>
    <row r="156" spans="1:11">
      <c r="A156" s="95" t="s">
        <v>370</v>
      </c>
      <c r="B156" s="223">
        <v>2</v>
      </c>
      <c r="C156" s="223">
        <v>100</v>
      </c>
      <c r="D156" s="96">
        <f t="shared" ref="D156:J156" si="30">(B32/10)*$B$156*$C$156*D133</f>
        <v>39283.200000000004</v>
      </c>
      <c r="E156" s="96">
        <f t="shared" si="30"/>
        <v>61871.040000000023</v>
      </c>
      <c r="F156" s="96">
        <f t="shared" si="30"/>
        <v>86619.456000000006</v>
      </c>
      <c r="G156" s="96">
        <f t="shared" si="30"/>
        <v>113688.03600000004</v>
      </c>
      <c r="H156" s="96">
        <f t="shared" si="30"/>
        <v>143246.92536000002</v>
      </c>
      <c r="I156" s="96">
        <f t="shared" si="30"/>
        <v>175477.48356600004</v>
      </c>
      <c r="J156" s="96">
        <f t="shared" si="30"/>
        <v>210572.98027920004</v>
      </c>
    </row>
    <row r="157" spans="1:11">
      <c r="A157" s="95" t="s">
        <v>325</v>
      </c>
      <c r="B157" s="223">
        <v>3</v>
      </c>
      <c r="C157" s="223">
        <v>300</v>
      </c>
      <c r="D157" s="96">
        <f t="shared" ref="D157:J157" si="31">B12*$B$157*$C$157*D133</f>
        <v>110484.00000000003</v>
      </c>
      <c r="E157" s="96">
        <f t="shared" si="31"/>
        <v>174012.30000000005</v>
      </c>
      <c r="F157" s="96">
        <f t="shared" si="31"/>
        <v>243617.22000000006</v>
      </c>
      <c r="G157" s="96">
        <f t="shared" si="31"/>
        <v>319747.60125000001</v>
      </c>
      <c r="H157" s="96">
        <f t="shared" si="31"/>
        <v>402881.97757500008</v>
      </c>
      <c r="I157" s="96">
        <f t="shared" si="31"/>
        <v>493530.42252937512</v>
      </c>
      <c r="J157" s="96">
        <f t="shared" si="31"/>
        <v>592236.50703525031</v>
      </c>
    </row>
    <row r="158" spans="1:11">
      <c r="A158" s="95" t="s">
        <v>145</v>
      </c>
      <c r="B158" s="95">
        <f>'2.Capex Details'!H30*0.746*8</f>
        <v>0</v>
      </c>
      <c r="C158" s="223">
        <v>8</v>
      </c>
      <c r="D158" s="96">
        <f t="shared" ref="D158:J158" si="32">$B$158*$C$158*B12*D133</f>
        <v>0</v>
      </c>
      <c r="E158" s="96">
        <f t="shared" si="32"/>
        <v>0</v>
      </c>
      <c r="F158" s="96">
        <f t="shared" si="32"/>
        <v>0</v>
      </c>
      <c r="G158" s="96">
        <f t="shared" si="32"/>
        <v>0</v>
      </c>
      <c r="H158" s="96">
        <f t="shared" si="32"/>
        <v>0</v>
      </c>
      <c r="I158" s="96">
        <f t="shared" si="32"/>
        <v>0</v>
      </c>
      <c r="J158" s="96">
        <f t="shared" si="32"/>
        <v>0</v>
      </c>
    </row>
    <row r="159" spans="1:11">
      <c r="A159" s="95" t="s">
        <v>298</v>
      </c>
      <c r="B159" s="95"/>
      <c r="C159" s="223">
        <v>10</v>
      </c>
      <c r="D159" s="96">
        <f t="shared" ref="D159:J159" si="33">((B35*100)/50)*$C$159*D133</f>
        <v>19641.600000000002</v>
      </c>
      <c r="E159" s="96">
        <f t="shared" si="33"/>
        <v>30935.520000000011</v>
      </c>
      <c r="F159" s="96">
        <f t="shared" si="33"/>
        <v>43309.728000000003</v>
      </c>
      <c r="G159" s="96">
        <f t="shared" si="33"/>
        <v>56844.018000000018</v>
      </c>
      <c r="H159" s="96">
        <f t="shared" si="33"/>
        <v>71623.462680000011</v>
      </c>
      <c r="I159" s="96">
        <f t="shared" si="33"/>
        <v>87738.741783000034</v>
      </c>
      <c r="J159" s="96">
        <f t="shared" si="33"/>
        <v>105286.49013960005</v>
      </c>
    </row>
    <row r="160" spans="1:11">
      <c r="A160" s="109" t="s">
        <v>299</v>
      </c>
      <c r="B160" s="109"/>
      <c r="C160" s="245">
        <v>20</v>
      </c>
      <c r="D160" s="96">
        <f t="shared" ref="D160:J160" si="34">(((B78+B69+B95+B63)*100)/50)*$C$160*D133</f>
        <v>4055.0400000000009</v>
      </c>
      <c r="E160" s="96">
        <f t="shared" si="34"/>
        <v>6386.6880000000028</v>
      </c>
      <c r="F160" s="96">
        <f t="shared" si="34"/>
        <v>8941.3632000000016</v>
      </c>
      <c r="G160" s="96">
        <f t="shared" si="34"/>
        <v>11735.539200000001</v>
      </c>
      <c r="H160" s="96">
        <f t="shared" si="34"/>
        <v>14786.779392000006</v>
      </c>
      <c r="I160" s="96">
        <f t="shared" si="34"/>
        <v>18113.804755200006</v>
      </c>
      <c r="J160" s="96">
        <f t="shared" si="34"/>
        <v>21736.565706240006</v>
      </c>
    </row>
    <row r="161" spans="1:10">
      <c r="A161" s="95" t="s">
        <v>300</v>
      </c>
      <c r="B161" s="95"/>
      <c r="C161" s="223">
        <v>150</v>
      </c>
      <c r="D161" s="96">
        <f t="shared" ref="D161:J161" si="35">(((B78+B69+B95+B63)*100)/50)*$C$161*D133</f>
        <v>30412.800000000007</v>
      </c>
      <c r="E161" s="96">
        <f t="shared" si="35"/>
        <v>47900.160000000011</v>
      </c>
      <c r="F161" s="96">
        <f t="shared" si="35"/>
        <v>67060.224000000017</v>
      </c>
      <c r="G161" s="96">
        <f t="shared" si="35"/>
        <v>88016.544000000024</v>
      </c>
      <c r="H161" s="96">
        <f t="shared" si="35"/>
        <v>110900.84544000003</v>
      </c>
      <c r="I161" s="96">
        <f t="shared" si="35"/>
        <v>135853.53566400005</v>
      </c>
      <c r="J161" s="96">
        <f t="shared" si="35"/>
        <v>163024.24279680007</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85" t="s">
        <v>348</v>
      </c>
      <c r="B166" s="96"/>
      <c r="C166" s="96"/>
      <c r="D166" s="96"/>
      <c r="E166" s="96">
        <f>'5.Closing Stock &amp; W Capital'!F8</f>
        <v>40353.19200000001</v>
      </c>
      <c r="F166" s="96">
        <f>'5.Closing Stock &amp; W Capital'!G8</f>
        <v>63556.277400000021</v>
      </c>
      <c r="G166" s="96">
        <f>'5.Closing Stock &amp; W Capital'!H8</f>
        <v>88978.788360000006</v>
      </c>
      <c r="H166" s="96">
        <f>'5.Closing Stock &amp; W Capital'!I8</f>
        <v>116784.65972250002</v>
      </c>
      <c r="I166" s="96">
        <f>'5.Closing Stock &amp; W Capital'!J8</f>
        <v>147148.67125035005</v>
      </c>
      <c r="J166" s="96">
        <f>'5.Closing Stock &amp; W Capital'!K8</f>
        <v>180257.12228167884</v>
      </c>
    </row>
    <row r="167" spans="1:10">
      <c r="A167" s="185" t="s">
        <v>349</v>
      </c>
      <c r="B167" s="96"/>
      <c r="C167" s="96"/>
      <c r="D167" s="96">
        <f>'5.Closing Stock &amp; W Capital'!E17</f>
        <v>40353.19200000001</v>
      </c>
      <c r="E167" s="96">
        <f>'5.Closing Stock &amp; W Capital'!F17</f>
        <v>63556.277400000021</v>
      </c>
      <c r="F167" s="96">
        <f>'5.Closing Stock &amp; W Capital'!G17</f>
        <v>88978.788360000006</v>
      </c>
      <c r="G167" s="96">
        <f>'5.Closing Stock &amp; W Capital'!H17</f>
        <v>116784.65972250002</v>
      </c>
      <c r="H167" s="96">
        <f>'5.Closing Stock &amp; W Capital'!I17</f>
        <v>147148.67125035005</v>
      </c>
      <c r="I167" s="96">
        <f>'5.Closing Stock &amp; W Capital'!J17</f>
        <v>180257.12228167884</v>
      </c>
      <c r="J167" s="96">
        <f>'5.Closing Stock &amp; W Capital'!K17</f>
        <v>216308.54673801456</v>
      </c>
    </row>
    <row r="168" spans="1:10">
      <c r="A168" s="96"/>
      <c r="B168" s="96"/>
      <c r="C168" s="96"/>
      <c r="D168" s="96"/>
      <c r="E168" s="96"/>
      <c r="F168" s="96"/>
      <c r="G168" s="96"/>
      <c r="H168" s="96"/>
      <c r="I168" s="96"/>
      <c r="J168" s="96"/>
    </row>
    <row r="169" spans="1:10">
      <c r="A169" s="115" t="s">
        <v>326</v>
      </c>
      <c r="B169" s="96"/>
      <c r="C169" s="96"/>
      <c r="D169" s="115">
        <f>SUM(D152:D166)-D167</f>
        <v>797123.44800000009</v>
      </c>
      <c r="E169" s="115">
        <f>SUM(E152:E166)-E167</f>
        <v>1295822.6226000004</v>
      </c>
      <c r="F169" s="115">
        <f t="shared" ref="F169:J169" si="36">SUM(F152:F166)-F167</f>
        <v>1821213.4802399999</v>
      </c>
      <c r="G169" s="115">
        <f t="shared" si="36"/>
        <v>2395903.8670875006</v>
      </c>
      <c r="H169" s="115">
        <f t="shared" si="36"/>
        <v>3023510.2589191506</v>
      </c>
      <c r="I169" s="115">
        <f t="shared" si="36"/>
        <v>3707887.5302662472</v>
      </c>
      <c r="J169" s="115">
        <f t="shared" si="36"/>
        <v>4453143.7531007556</v>
      </c>
    </row>
    <row r="170" spans="1:10">
      <c r="A170" s="94"/>
      <c r="B170" s="94"/>
      <c r="C170" s="94"/>
      <c r="D170" s="94"/>
      <c r="E170" s="94"/>
      <c r="F170" s="94"/>
      <c r="G170" s="94"/>
      <c r="H170" s="94"/>
      <c r="I170" s="94"/>
      <c r="J170" s="94"/>
    </row>
    <row r="171" spans="1:10">
      <c r="A171" s="186" t="s">
        <v>313</v>
      </c>
      <c r="B171" s="186"/>
      <c r="C171" s="186"/>
      <c r="D171" s="115"/>
      <c r="E171" s="115"/>
      <c r="F171" s="115"/>
      <c r="G171" s="115"/>
      <c r="H171" s="115"/>
      <c r="I171" s="115"/>
      <c r="J171" s="115"/>
    </row>
    <row r="172" spans="1:10">
      <c r="A172" s="95" t="s">
        <v>190</v>
      </c>
      <c r="B172" s="223">
        <v>1</v>
      </c>
      <c r="C172" s="243">
        <v>10500</v>
      </c>
      <c r="D172" s="96">
        <f t="shared" ref="D172:J172" si="37">$B$172*$C$172*12*D133</f>
        <v>126000</v>
      </c>
      <c r="E172" s="96">
        <f t="shared" si="37"/>
        <v>132300</v>
      </c>
      <c r="F172" s="96">
        <f t="shared" si="37"/>
        <v>138915</v>
      </c>
      <c r="G172" s="96">
        <f t="shared" si="37"/>
        <v>145860.75000000003</v>
      </c>
      <c r="H172" s="96">
        <f t="shared" si="37"/>
        <v>153153.78750000003</v>
      </c>
      <c r="I172" s="96">
        <f t="shared" si="37"/>
        <v>160811.47687500005</v>
      </c>
      <c r="J172" s="96">
        <f t="shared" si="37"/>
        <v>168852.05071875005</v>
      </c>
    </row>
    <row r="173" spans="1:10">
      <c r="A173" s="95"/>
      <c r="B173" s="223"/>
      <c r="C173" s="243"/>
      <c r="D173" s="96"/>
      <c r="E173" s="96"/>
      <c r="F173" s="96"/>
      <c r="G173" s="96"/>
      <c r="H173" s="96"/>
      <c r="I173" s="96"/>
      <c r="J173" s="96"/>
    </row>
    <row r="174" spans="1:10">
      <c r="A174" s="95"/>
      <c r="B174" s="223"/>
      <c r="C174" s="243"/>
      <c r="D174" s="96"/>
      <c r="E174" s="96"/>
      <c r="F174" s="96"/>
      <c r="G174" s="96"/>
      <c r="H174" s="96"/>
      <c r="I174" s="96"/>
      <c r="J174" s="96"/>
    </row>
    <row r="175" spans="1:10">
      <c r="A175" s="95"/>
      <c r="B175" s="223"/>
      <c r="C175" s="243"/>
      <c r="D175" s="96"/>
      <c r="E175" s="96"/>
      <c r="F175" s="96"/>
      <c r="G175" s="96"/>
      <c r="H175" s="96"/>
      <c r="I175" s="96"/>
      <c r="J175" s="96"/>
    </row>
    <row r="176" spans="1:10">
      <c r="A176" s="95"/>
      <c r="B176" s="223"/>
      <c r="C176" s="243"/>
      <c r="D176" s="96"/>
      <c r="E176" s="96"/>
      <c r="F176" s="96"/>
      <c r="G176" s="96"/>
      <c r="H176" s="96"/>
      <c r="I176" s="96"/>
      <c r="J176" s="96"/>
    </row>
    <row r="177" spans="1:10">
      <c r="A177" s="97" t="s">
        <v>313</v>
      </c>
      <c r="B177" s="97"/>
      <c r="C177" s="97"/>
      <c r="D177" s="115">
        <f t="shared" ref="D177:J177" si="38">SUM(D172:D176)</f>
        <v>126000</v>
      </c>
      <c r="E177" s="115">
        <f t="shared" si="38"/>
        <v>132300</v>
      </c>
      <c r="F177" s="115">
        <f t="shared" si="38"/>
        <v>138915</v>
      </c>
      <c r="G177" s="115">
        <f t="shared" si="38"/>
        <v>145860.75000000003</v>
      </c>
      <c r="H177" s="115">
        <f t="shared" si="38"/>
        <v>153153.78750000003</v>
      </c>
      <c r="I177" s="115">
        <f t="shared" si="38"/>
        <v>160811.47687500005</v>
      </c>
      <c r="J177" s="115">
        <f t="shared" si="38"/>
        <v>168852.05071875005</v>
      </c>
    </row>
    <row r="178" spans="1:10">
      <c r="A178" s="186" t="s">
        <v>301</v>
      </c>
      <c r="B178" s="186"/>
      <c r="C178" s="186"/>
      <c r="D178" s="115">
        <f t="shared" ref="D178:J178" si="39">D169+D177</f>
        <v>923123.44800000009</v>
      </c>
      <c r="E178" s="115">
        <f t="shared" si="39"/>
        <v>1428122.6226000004</v>
      </c>
      <c r="F178" s="115">
        <f t="shared" si="39"/>
        <v>1960128.4802399999</v>
      </c>
      <c r="G178" s="115">
        <f t="shared" si="39"/>
        <v>2541764.6170875006</v>
      </c>
      <c r="H178" s="115">
        <f t="shared" si="39"/>
        <v>3176664.0464191507</v>
      </c>
      <c r="I178" s="115">
        <f t="shared" si="39"/>
        <v>3868699.0071412474</v>
      </c>
      <c r="J178" s="115">
        <f t="shared" si="39"/>
        <v>4621995.8038195055</v>
      </c>
    </row>
    <row r="179" spans="1:10">
      <c r="A179" s="95"/>
      <c r="B179" s="95"/>
      <c r="C179" s="95"/>
      <c r="D179" s="96"/>
      <c r="E179" s="96"/>
      <c r="F179" s="96"/>
      <c r="G179" s="96"/>
      <c r="H179" s="96"/>
      <c r="I179" s="96"/>
      <c r="J179" s="96"/>
    </row>
    <row r="180" spans="1:10">
      <c r="A180" s="97" t="s">
        <v>7</v>
      </c>
      <c r="B180" s="97"/>
      <c r="C180" s="97"/>
      <c r="D180" s="115">
        <f t="shared" ref="D180:J180" si="40">D148-D178</f>
        <v>441650.95200000005</v>
      </c>
      <c r="E180" s="115">
        <f t="shared" si="40"/>
        <v>758652.73739999998</v>
      </c>
      <c r="F180" s="115">
        <f t="shared" si="40"/>
        <v>1107876.7677600007</v>
      </c>
      <c r="G180" s="115">
        <f t="shared" si="40"/>
        <v>1490126.5693125008</v>
      </c>
      <c r="H180" s="115">
        <f t="shared" si="40"/>
        <v>1907831.6591008506</v>
      </c>
      <c r="I180" s="115">
        <f t="shared" si="40"/>
        <v>2363581.9414447546</v>
      </c>
      <c r="J180" s="115">
        <f t="shared" si="40"/>
        <v>2860137.6728752963</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39" t="s">
        <v>434</v>
      </c>
      <c r="B184" s="439"/>
      <c r="C184" s="439"/>
      <c r="D184" s="439"/>
      <c r="E184" s="439"/>
      <c r="F184" s="439"/>
      <c r="G184" s="439"/>
      <c r="H184" s="439"/>
      <c r="I184" s="439"/>
      <c r="J184" s="439"/>
    </row>
    <row r="186" spans="1:10">
      <c r="A186" t="s">
        <v>555</v>
      </c>
    </row>
    <row r="187" spans="1:10">
      <c r="A187">
        <v>1</v>
      </c>
      <c r="B187" t="s">
        <v>568</v>
      </c>
    </row>
    <row r="188" spans="1:10">
      <c r="A188">
        <v>2</v>
      </c>
      <c r="B188" t="s">
        <v>569</v>
      </c>
    </row>
    <row r="189" spans="1:10">
      <c r="A189">
        <v>3</v>
      </c>
      <c r="B189" s="94" t="s">
        <v>621</v>
      </c>
    </row>
  </sheetData>
  <mergeCells count="4">
    <mergeCell ref="A131:J131"/>
    <mergeCell ref="A3:H3"/>
    <mergeCell ref="A184:J184"/>
    <mergeCell ref="A4:H4"/>
  </mergeCells>
  <pageMargins left="0.47" right="0.42" top="0.75" bottom="0.75" header="0.3" footer="0.3"/>
  <pageSetup paperSize="9" scale="52" fitToHeight="0"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view="pageBreakPreview" zoomScale="80" zoomScaleSheetLayoutView="80" workbookViewId="0">
      <selection sqref="A1:K49"/>
    </sheetView>
  </sheetViews>
  <sheetFormatPr defaultRowHeight="15"/>
  <cols>
    <col min="1" max="1" width="30.42578125" bestFit="1" customWidth="1"/>
    <col min="2" max="2" width="19.28515625" customWidth="1"/>
    <col min="3" max="3" width="10.85546875" bestFit="1" customWidth="1"/>
    <col min="4" max="10" width="11.5703125" bestFit="1" customWidth="1"/>
  </cols>
  <sheetData>
    <row r="2" spans="1:10" ht="18.75">
      <c r="A2" s="506" t="s">
        <v>608</v>
      </c>
      <c r="B2" s="506"/>
      <c r="C2" s="506"/>
      <c r="D2" s="506"/>
      <c r="E2" s="506"/>
      <c r="F2" s="506"/>
      <c r="G2" s="506"/>
      <c r="H2" s="506"/>
    </row>
    <row r="3" spans="1:10" ht="18.75">
      <c r="A3" s="506" t="s">
        <v>609</v>
      </c>
      <c r="B3" s="506"/>
      <c r="C3" s="506"/>
      <c r="D3" s="506"/>
      <c r="E3" s="506"/>
      <c r="F3" s="506"/>
      <c r="G3" s="506"/>
      <c r="H3" s="506"/>
    </row>
    <row r="4" spans="1:10">
      <c r="A4" s="177" t="s">
        <v>163</v>
      </c>
      <c r="B4" s="248">
        <v>2300</v>
      </c>
      <c r="C4" s="175" t="s">
        <v>302</v>
      </c>
      <c r="D4" s="175"/>
      <c r="E4" s="175"/>
      <c r="F4" s="175"/>
      <c r="G4" s="176"/>
      <c r="H4" s="94"/>
    </row>
    <row r="5" spans="1:10">
      <c r="A5" s="177"/>
      <c r="B5" s="178"/>
      <c r="C5" s="176"/>
      <c r="D5" s="176"/>
      <c r="E5" s="176"/>
      <c r="F5" s="176"/>
      <c r="G5" s="176"/>
      <c r="H5" s="94"/>
    </row>
    <row r="6" spans="1:10">
      <c r="A6" s="177" t="s">
        <v>304</v>
      </c>
      <c r="B6" s="179">
        <v>12</v>
      </c>
      <c r="C6" s="176"/>
      <c r="D6" s="179"/>
      <c r="E6" s="179"/>
      <c r="F6" s="176"/>
      <c r="G6" s="176"/>
      <c r="H6" s="94"/>
    </row>
    <row r="7" spans="1:10">
      <c r="A7" s="177"/>
      <c r="B7" s="94"/>
      <c r="C7" s="179"/>
      <c r="D7" s="179"/>
      <c r="E7" s="179"/>
      <c r="F7" s="176"/>
      <c r="G7" s="176"/>
      <c r="H7" s="94"/>
    </row>
    <row r="8" spans="1:10">
      <c r="A8" s="148" t="s">
        <v>128</v>
      </c>
      <c r="B8" s="120" t="s">
        <v>2</v>
      </c>
      <c r="C8" s="120" t="s">
        <v>3</v>
      </c>
      <c r="D8" s="120" t="s">
        <v>4</v>
      </c>
      <c r="E8" s="120" t="s">
        <v>5</v>
      </c>
      <c r="F8" s="120" t="s">
        <v>6</v>
      </c>
      <c r="G8" s="120" t="s">
        <v>171</v>
      </c>
      <c r="H8" s="120" t="s">
        <v>170</v>
      </c>
    </row>
    <row r="9" spans="1:10">
      <c r="A9" s="95" t="s">
        <v>305</v>
      </c>
      <c r="B9" s="268">
        <v>0.8</v>
      </c>
      <c r="C9" s="268">
        <f>B9+5%</f>
        <v>0.85000000000000009</v>
      </c>
      <c r="D9" s="268">
        <f>C9+5%</f>
        <v>0.90000000000000013</v>
      </c>
      <c r="E9" s="268">
        <f>D9+5%</f>
        <v>0.95000000000000018</v>
      </c>
      <c r="F9" s="268">
        <f>E9+5%</f>
        <v>1.0000000000000002</v>
      </c>
      <c r="G9" s="268">
        <f>F9</f>
        <v>1.0000000000000002</v>
      </c>
      <c r="H9" s="268">
        <f>G9</f>
        <v>1.0000000000000002</v>
      </c>
    </row>
    <row r="10" spans="1:10">
      <c r="A10" s="97" t="s">
        <v>327</v>
      </c>
      <c r="B10" s="181">
        <f t="shared" ref="B10:H10" si="0">$B$4*B9*$B$6</f>
        <v>22080</v>
      </c>
      <c r="C10" s="181">
        <f t="shared" si="0"/>
        <v>23460.000000000004</v>
      </c>
      <c r="D10" s="181">
        <f t="shared" si="0"/>
        <v>24840.000000000007</v>
      </c>
      <c r="E10" s="181">
        <f t="shared" si="0"/>
        <v>26220.000000000007</v>
      </c>
      <c r="F10" s="181">
        <f t="shared" si="0"/>
        <v>27600.000000000007</v>
      </c>
      <c r="G10" s="181">
        <f t="shared" si="0"/>
        <v>27600.000000000007</v>
      </c>
      <c r="H10" s="181">
        <f t="shared" si="0"/>
        <v>27600.000000000007</v>
      </c>
    </row>
    <row r="15" spans="1:10" ht="18.75">
      <c r="A15" s="438" t="s">
        <v>610</v>
      </c>
      <c r="B15" s="438"/>
      <c r="C15" s="438"/>
      <c r="D15" s="438"/>
      <c r="E15" s="438"/>
      <c r="F15" s="438"/>
      <c r="G15" s="438"/>
      <c r="H15" s="438"/>
      <c r="I15" s="438"/>
      <c r="J15" s="438"/>
    </row>
    <row r="16" spans="1:10">
      <c r="A16" s="14"/>
      <c r="B16" s="62"/>
      <c r="C16" s="30"/>
      <c r="D16" s="14"/>
      <c r="E16" s="14"/>
      <c r="F16" s="14"/>
      <c r="G16" s="14"/>
      <c r="H16" s="14"/>
    </row>
    <row r="17" spans="1:10">
      <c r="A17" s="94"/>
      <c r="B17" s="94"/>
      <c r="C17" s="94"/>
      <c r="D17" s="169">
        <v>1</v>
      </c>
      <c r="E17" s="174">
        <f>(D17*5%)+D17</f>
        <v>1.05</v>
      </c>
      <c r="F17" s="174">
        <f t="shared" ref="F17:J17" si="1">(E17*5%)+E17</f>
        <v>1.1025</v>
      </c>
      <c r="G17" s="174">
        <f t="shared" si="1"/>
        <v>1.1576250000000001</v>
      </c>
      <c r="H17" s="174">
        <f t="shared" si="1"/>
        <v>1.2155062500000002</v>
      </c>
      <c r="I17" s="174">
        <f t="shared" si="1"/>
        <v>1.2762815625000004</v>
      </c>
      <c r="J17" s="174">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329</v>
      </c>
      <c r="B21" s="95"/>
      <c r="C21" s="243">
        <v>100</v>
      </c>
      <c r="D21" s="96">
        <f t="shared" ref="D21:J21" si="2">B10*$C$21*D17</f>
        <v>2208000</v>
      </c>
      <c r="E21" s="96">
        <f t="shared" si="2"/>
        <v>2463300.0000000005</v>
      </c>
      <c r="F21" s="96">
        <f t="shared" si="2"/>
        <v>2738610.0000000009</v>
      </c>
      <c r="G21" s="96">
        <f t="shared" si="2"/>
        <v>3035292.7500000014</v>
      </c>
      <c r="H21" s="96">
        <f t="shared" si="2"/>
        <v>3354797.2500000019</v>
      </c>
      <c r="I21" s="96">
        <f t="shared" si="2"/>
        <v>3522537.1125000021</v>
      </c>
      <c r="J21" s="96">
        <f t="shared" si="2"/>
        <v>3698663.9681250025</v>
      </c>
    </row>
    <row r="22" spans="1:10">
      <c r="A22" s="95"/>
      <c r="B22" s="95"/>
      <c r="C22" s="96"/>
      <c r="D22" s="96"/>
      <c r="E22" s="96"/>
      <c r="F22" s="96"/>
      <c r="G22" s="96"/>
      <c r="H22" s="96"/>
      <c r="I22" s="96"/>
      <c r="J22" s="96"/>
    </row>
    <row r="23" spans="1:10">
      <c r="A23" s="97" t="s">
        <v>144</v>
      </c>
      <c r="B23" s="97"/>
      <c r="C23" s="115"/>
      <c r="D23" s="96">
        <f t="shared" ref="D23:J23" si="3">SUM(D21:D21)</f>
        <v>2208000</v>
      </c>
      <c r="E23" s="96">
        <f t="shared" si="3"/>
        <v>2463300.0000000005</v>
      </c>
      <c r="F23" s="96">
        <f t="shared" si="3"/>
        <v>2738610.0000000009</v>
      </c>
      <c r="G23" s="96">
        <f t="shared" si="3"/>
        <v>3035292.7500000014</v>
      </c>
      <c r="H23" s="96">
        <f t="shared" si="3"/>
        <v>3354797.2500000019</v>
      </c>
      <c r="I23" s="96">
        <f t="shared" si="3"/>
        <v>3522537.1125000021</v>
      </c>
      <c r="J23" s="96">
        <f t="shared" si="3"/>
        <v>3698663.9681250025</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315</v>
      </c>
      <c r="B26" s="97"/>
      <c r="C26" s="96"/>
      <c r="D26" s="96"/>
      <c r="E26" s="96"/>
      <c r="F26" s="96"/>
      <c r="G26" s="96"/>
      <c r="H26" s="96"/>
      <c r="I26" s="96"/>
      <c r="J26" s="96"/>
    </row>
    <row r="27" spans="1:10">
      <c r="A27" s="95" t="s">
        <v>306</v>
      </c>
      <c r="B27" s="223" t="s">
        <v>302</v>
      </c>
      <c r="C27" s="243">
        <v>20</v>
      </c>
      <c r="D27" s="96">
        <f t="shared" ref="D27:J27" si="4">$B$4*$C$27*D17*4</f>
        <v>184000</v>
      </c>
      <c r="E27" s="96">
        <f t="shared" si="4"/>
        <v>193200</v>
      </c>
      <c r="F27" s="96">
        <f t="shared" si="4"/>
        <v>202860</v>
      </c>
      <c r="G27" s="96">
        <f t="shared" si="4"/>
        <v>213003.00000000003</v>
      </c>
      <c r="H27" s="96">
        <f t="shared" si="4"/>
        <v>223653.15000000005</v>
      </c>
      <c r="I27" s="96">
        <f t="shared" si="4"/>
        <v>234835.80750000005</v>
      </c>
      <c r="J27" s="96">
        <f t="shared" si="4"/>
        <v>246577.59787500006</v>
      </c>
    </row>
    <row r="28" spans="1:10">
      <c r="A28" s="95" t="s">
        <v>307</v>
      </c>
      <c r="B28" s="223" t="s">
        <v>302</v>
      </c>
      <c r="C28" s="243">
        <v>15</v>
      </c>
      <c r="D28" s="96">
        <f t="shared" ref="D28:J28" si="5">$B$4*$C$28*D17*12</f>
        <v>414000</v>
      </c>
      <c r="E28" s="96">
        <f t="shared" si="5"/>
        <v>434700</v>
      </c>
      <c r="F28" s="96">
        <f t="shared" si="5"/>
        <v>456435</v>
      </c>
      <c r="G28" s="96">
        <f t="shared" si="5"/>
        <v>479256.75000000012</v>
      </c>
      <c r="H28" s="96">
        <f t="shared" si="5"/>
        <v>503219.58750000014</v>
      </c>
      <c r="I28" s="96">
        <f t="shared" si="5"/>
        <v>528380.56687500014</v>
      </c>
      <c r="J28" s="96">
        <f t="shared" si="5"/>
        <v>554799.59521875018</v>
      </c>
    </row>
    <row r="29" spans="1:10">
      <c r="A29" s="95" t="s">
        <v>308</v>
      </c>
      <c r="B29" s="223"/>
      <c r="C29" s="243">
        <v>12500</v>
      </c>
      <c r="D29" s="96">
        <f>$C$29*12*D17</f>
        <v>150000</v>
      </c>
      <c r="E29" s="96">
        <f t="shared" ref="E29:J29" si="6">$C$29*12*E17</f>
        <v>157500</v>
      </c>
      <c r="F29" s="96">
        <f t="shared" si="6"/>
        <v>165375</v>
      </c>
      <c r="G29" s="96">
        <f t="shared" si="6"/>
        <v>173643.75000000003</v>
      </c>
      <c r="H29" s="96">
        <f t="shared" si="6"/>
        <v>182325.93750000003</v>
      </c>
      <c r="I29" s="96">
        <f t="shared" si="6"/>
        <v>191442.23437500006</v>
      </c>
      <c r="J29" s="96">
        <f t="shared" si="6"/>
        <v>201014.34609375006</v>
      </c>
    </row>
    <row r="30" spans="1:10">
      <c r="A30" s="95"/>
      <c r="B30" s="223"/>
      <c r="C30" s="243"/>
      <c r="D30" s="96"/>
      <c r="E30" s="96"/>
      <c r="F30" s="96"/>
      <c r="G30" s="96"/>
      <c r="H30" s="96"/>
      <c r="I30" s="96"/>
      <c r="J30" s="96"/>
    </row>
    <row r="31" spans="1:10">
      <c r="A31" s="95"/>
      <c r="B31" s="223"/>
      <c r="C31" s="243"/>
      <c r="D31" s="96"/>
      <c r="E31" s="96"/>
      <c r="F31" s="96"/>
      <c r="G31" s="96"/>
      <c r="H31" s="96"/>
      <c r="I31" s="96"/>
      <c r="J31" s="96"/>
    </row>
    <row r="32" spans="1:10">
      <c r="A32" s="95"/>
      <c r="B32" s="223"/>
      <c r="C32" s="243"/>
      <c r="D32" s="96"/>
      <c r="E32" s="96"/>
      <c r="F32" s="96"/>
      <c r="G32" s="96"/>
      <c r="H32" s="96"/>
      <c r="I32" s="96"/>
      <c r="J32" s="96"/>
    </row>
    <row r="33" spans="1:10">
      <c r="A33" s="95"/>
      <c r="B33" s="223"/>
      <c r="C33" s="243"/>
      <c r="D33" s="96"/>
      <c r="E33" s="96"/>
      <c r="F33" s="96"/>
      <c r="G33" s="96"/>
      <c r="H33" s="96"/>
      <c r="I33" s="96"/>
      <c r="J33" s="96"/>
    </row>
    <row r="34" spans="1:10">
      <c r="A34" s="97" t="s">
        <v>326</v>
      </c>
      <c r="B34" s="228"/>
      <c r="C34" s="247"/>
      <c r="D34" s="115">
        <f>SUM(D27:D33)</f>
        <v>748000</v>
      </c>
      <c r="E34" s="115">
        <f t="shared" ref="E34:J34" si="7">SUM(E27:E33)</f>
        <v>785400</v>
      </c>
      <c r="F34" s="115">
        <f t="shared" si="7"/>
        <v>824670</v>
      </c>
      <c r="G34" s="115">
        <f t="shared" si="7"/>
        <v>865903.50000000012</v>
      </c>
      <c r="H34" s="115">
        <f t="shared" si="7"/>
        <v>909198.67500000016</v>
      </c>
      <c r="I34" s="115">
        <f t="shared" si="7"/>
        <v>954658.60875000013</v>
      </c>
      <c r="J34" s="115">
        <f t="shared" si="7"/>
        <v>1002391.5391875004</v>
      </c>
    </row>
    <row r="35" spans="1:10">
      <c r="A35" s="97"/>
      <c r="B35" s="228"/>
      <c r="C35" s="247"/>
      <c r="D35" s="115"/>
      <c r="E35" s="115"/>
      <c r="F35" s="115"/>
      <c r="G35" s="115"/>
      <c r="H35" s="115"/>
      <c r="I35" s="115"/>
      <c r="J35" s="115"/>
    </row>
    <row r="36" spans="1:10">
      <c r="A36" s="97" t="s">
        <v>313</v>
      </c>
      <c r="B36" s="223"/>
      <c r="C36" s="243"/>
      <c r="D36" s="96"/>
      <c r="E36" s="96"/>
      <c r="F36" s="96"/>
      <c r="G36" s="96"/>
      <c r="H36" s="96"/>
      <c r="I36" s="96"/>
      <c r="J36" s="96"/>
    </row>
    <row r="37" spans="1:10">
      <c r="A37" s="95" t="s">
        <v>328</v>
      </c>
      <c r="B37" s="223">
        <v>1</v>
      </c>
      <c r="C37" s="243">
        <v>12500</v>
      </c>
      <c r="D37" s="96">
        <f>$B$37*$C$37*D17*12</f>
        <v>150000</v>
      </c>
      <c r="E37" s="96">
        <f t="shared" ref="E37:J37" si="8">$B$37*$C$37*E17*12</f>
        <v>157500</v>
      </c>
      <c r="F37" s="96">
        <f t="shared" si="8"/>
        <v>165375</v>
      </c>
      <c r="G37" s="96">
        <f t="shared" si="8"/>
        <v>173643.75000000003</v>
      </c>
      <c r="H37" s="96">
        <f t="shared" si="8"/>
        <v>182325.93750000006</v>
      </c>
      <c r="I37" s="96">
        <f t="shared" si="8"/>
        <v>191442.23437500006</v>
      </c>
      <c r="J37" s="96">
        <f t="shared" si="8"/>
        <v>201014.34609375009</v>
      </c>
    </row>
    <row r="38" spans="1:10">
      <c r="A38" s="95"/>
      <c r="B38" s="223"/>
      <c r="C38" s="243"/>
      <c r="D38" s="96"/>
      <c r="E38" s="96"/>
      <c r="F38" s="96"/>
      <c r="G38" s="96"/>
      <c r="H38" s="96"/>
      <c r="I38" s="96"/>
      <c r="J38" s="96"/>
    </row>
    <row r="39" spans="1:10">
      <c r="A39" s="95"/>
      <c r="B39" s="223"/>
      <c r="C39" s="243"/>
      <c r="D39" s="96"/>
      <c r="E39" s="96"/>
      <c r="F39" s="96"/>
      <c r="G39" s="96"/>
      <c r="H39" s="96"/>
      <c r="I39" s="96"/>
      <c r="J39" s="96"/>
    </row>
    <row r="40" spans="1:10">
      <c r="A40" s="95"/>
      <c r="B40" s="223"/>
      <c r="C40" s="243"/>
      <c r="D40" s="96"/>
      <c r="E40" s="96"/>
      <c r="F40" s="96"/>
      <c r="G40" s="96"/>
      <c r="H40" s="96"/>
      <c r="I40" s="96"/>
      <c r="J40" s="96"/>
    </row>
    <row r="41" spans="1:10">
      <c r="A41" s="97" t="s">
        <v>330</v>
      </c>
      <c r="B41" s="97"/>
      <c r="C41" s="115"/>
      <c r="D41" s="115">
        <f t="shared" ref="D41:J41" si="9">SUM(D37:D40)</f>
        <v>150000</v>
      </c>
      <c r="E41" s="115">
        <f t="shared" si="9"/>
        <v>157500</v>
      </c>
      <c r="F41" s="115">
        <f t="shared" si="9"/>
        <v>165375</v>
      </c>
      <c r="G41" s="115">
        <f t="shared" si="9"/>
        <v>173643.75000000003</v>
      </c>
      <c r="H41" s="115">
        <f t="shared" si="9"/>
        <v>182325.93750000006</v>
      </c>
      <c r="I41" s="115">
        <f t="shared" si="9"/>
        <v>191442.23437500006</v>
      </c>
      <c r="J41" s="115">
        <f t="shared" si="9"/>
        <v>201014.34609375009</v>
      </c>
    </row>
    <row r="42" spans="1:10">
      <c r="A42" s="97"/>
      <c r="B42" s="97"/>
      <c r="C42" s="115"/>
      <c r="D42" s="115"/>
      <c r="E42" s="115"/>
      <c r="F42" s="115"/>
      <c r="G42" s="115"/>
      <c r="H42" s="115"/>
      <c r="I42" s="115"/>
      <c r="J42" s="115"/>
    </row>
    <row r="43" spans="1:10">
      <c r="A43" s="97" t="s">
        <v>130</v>
      </c>
      <c r="B43" s="97"/>
      <c r="C43" s="115"/>
      <c r="D43" s="115">
        <f t="shared" ref="D43:J43" si="10">D34+D41</f>
        <v>898000</v>
      </c>
      <c r="E43" s="115">
        <f t="shared" si="10"/>
        <v>942900</v>
      </c>
      <c r="F43" s="115">
        <f t="shared" si="10"/>
        <v>990045</v>
      </c>
      <c r="G43" s="115">
        <f t="shared" si="10"/>
        <v>1039547.2500000001</v>
      </c>
      <c r="H43" s="115">
        <f t="shared" si="10"/>
        <v>1091524.6125000003</v>
      </c>
      <c r="I43" s="115">
        <f t="shared" si="10"/>
        <v>1146100.8431250001</v>
      </c>
      <c r="J43" s="115">
        <f t="shared" si="10"/>
        <v>1203405.8852812503</v>
      </c>
    </row>
    <row r="44" spans="1:10">
      <c r="A44" s="95"/>
      <c r="B44" s="95"/>
      <c r="C44" s="96"/>
      <c r="D44" s="96"/>
      <c r="E44" s="96"/>
      <c r="F44" s="96"/>
      <c r="G44" s="96"/>
      <c r="H44" s="96"/>
      <c r="I44" s="96"/>
      <c r="J44" s="96"/>
    </row>
    <row r="45" spans="1:10">
      <c r="A45" s="97" t="s">
        <v>129</v>
      </c>
      <c r="B45" s="97"/>
      <c r="C45" s="115"/>
      <c r="D45" s="115">
        <f t="shared" ref="D45:J45" si="11">D23-D43</f>
        <v>1310000</v>
      </c>
      <c r="E45" s="115">
        <f t="shared" si="11"/>
        <v>1520400.0000000005</v>
      </c>
      <c r="F45" s="115">
        <f t="shared" si="11"/>
        <v>1748565.0000000009</v>
      </c>
      <c r="G45" s="115">
        <f t="shared" si="11"/>
        <v>1995745.5000000014</v>
      </c>
      <c r="H45" s="115">
        <f t="shared" si="11"/>
        <v>2263272.6375000016</v>
      </c>
      <c r="I45" s="115">
        <f t="shared" si="11"/>
        <v>2376436.269375002</v>
      </c>
      <c r="J45" s="115">
        <f t="shared" si="11"/>
        <v>2495258.0828437521</v>
      </c>
    </row>
    <row r="46" spans="1:10">
      <c r="A46" s="94"/>
      <c r="B46" s="94"/>
      <c r="C46" s="94"/>
      <c r="D46" s="94"/>
      <c r="E46" s="94"/>
      <c r="F46" s="94"/>
      <c r="G46" s="94"/>
      <c r="H46" s="94"/>
      <c r="I46" s="94"/>
      <c r="J46" s="94"/>
    </row>
    <row r="47" spans="1:10">
      <c r="A47" s="94"/>
    </row>
    <row r="49" spans="1:10">
      <c r="A49" s="439" t="s">
        <v>434</v>
      </c>
      <c r="B49" s="439"/>
      <c r="C49" s="439"/>
      <c r="D49" s="439"/>
      <c r="E49" s="439"/>
      <c r="F49" s="439"/>
      <c r="G49" s="439"/>
      <c r="H49" s="439"/>
      <c r="I49" s="439"/>
      <c r="J49" s="439"/>
    </row>
    <row r="51" spans="1:10">
      <c r="A51" t="s">
        <v>555</v>
      </c>
    </row>
    <row r="52" spans="1:10">
      <c r="A52">
        <v>1</v>
      </c>
      <c r="B52" t="s">
        <v>568</v>
      </c>
    </row>
    <row r="53" spans="1:10">
      <c r="A53">
        <v>2</v>
      </c>
      <c r="B53" t="s">
        <v>569</v>
      </c>
    </row>
    <row r="54" spans="1:10">
      <c r="A54">
        <v>3</v>
      </c>
      <c r="B54" s="94" t="s">
        <v>621</v>
      </c>
    </row>
  </sheetData>
  <mergeCells count="4">
    <mergeCell ref="A15:J15"/>
    <mergeCell ref="A2:H2"/>
    <mergeCell ref="A49:J49"/>
    <mergeCell ref="A3:H3"/>
  </mergeCells>
  <pageMargins left="0.7" right="0.7" top="0.75" bottom="0.75" header="0.3" footer="0.3"/>
  <pageSetup paperSize="9" scale="58" fitToHeight="0"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zoomScale="80" zoomScaleSheetLayoutView="80" workbookViewId="0">
      <selection sqref="A1:M6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38" t="s">
        <v>611</v>
      </c>
      <c r="B3" s="438"/>
      <c r="C3" s="438"/>
      <c r="D3" s="438"/>
      <c r="E3" s="438"/>
      <c r="F3" s="438"/>
      <c r="G3" s="438"/>
      <c r="H3" s="438"/>
      <c r="I3" s="438"/>
      <c r="J3" s="438"/>
      <c r="K3" s="438"/>
      <c r="L3" s="438"/>
    </row>
    <row r="4" spans="1:13" ht="18.75">
      <c r="A4" s="438" t="s">
        <v>612</v>
      </c>
      <c r="B4" s="438"/>
      <c r="C4" s="438"/>
      <c r="D4" s="438"/>
      <c r="E4" s="438"/>
      <c r="F4" s="438"/>
      <c r="G4" s="438"/>
      <c r="H4" s="438"/>
      <c r="I4" s="438"/>
      <c r="J4" s="438"/>
      <c r="K4" s="438"/>
      <c r="L4" s="438"/>
    </row>
    <row r="5" spans="1:13">
      <c r="A5" s="94"/>
      <c r="B5" s="94"/>
      <c r="C5" s="94"/>
    </row>
    <row r="6" spans="1:13">
      <c r="A6" s="94"/>
      <c r="B6" s="94"/>
      <c r="C6" s="94"/>
    </row>
    <row r="7" spans="1:13" ht="45">
      <c r="A7" s="278" t="s">
        <v>146</v>
      </c>
      <c r="B7" s="279" t="s">
        <v>442</v>
      </c>
      <c r="C7" s="279" t="s">
        <v>450</v>
      </c>
      <c r="D7" s="279" t="s">
        <v>448</v>
      </c>
      <c r="E7" s="279" t="s">
        <v>449</v>
      </c>
      <c r="F7" s="279" t="s">
        <v>309</v>
      </c>
      <c r="G7" s="279" t="s">
        <v>451</v>
      </c>
      <c r="H7" s="279" t="s">
        <v>452</v>
      </c>
      <c r="I7" s="279" t="s">
        <v>453</v>
      </c>
      <c r="J7" s="281" t="s">
        <v>456</v>
      </c>
      <c r="K7" s="279" t="s">
        <v>454</v>
      </c>
      <c r="L7" s="281" t="s">
        <v>455</v>
      </c>
      <c r="M7" s="279" t="s">
        <v>458</v>
      </c>
    </row>
    <row r="8" spans="1:13">
      <c r="A8" s="280">
        <v>1</v>
      </c>
      <c r="B8" s="274" t="s">
        <v>443</v>
      </c>
      <c r="C8" s="274"/>
      <c r="D8" s="274"/>
      <c r="E8" s="274">
        <v>6</v>
      </c>
      <c r="F8" s="283">
        <f>D8*E8*C8</f>
        <v>0</v>
      </c>
      <c r="G8" s="274">
        <v>4</v>
      </c>
      <c r="H8" s="283">
        <f>F8/G8</f>
        <v>0</v>
      </c>
      <c r="I8" s="274">
        <v>12</v>
      </c>
      <c r="J8" s="283">
        <f>H8*I8</f>
        <v>0</v>
      </c>
      <c r="K8" s="274">
        <v>3000</v>
      </c>
      <c r="L8" s="274">
        <v>1</v>
      </c>
      <c r="M8" s="283">
        <f t="shared" ref="M8:M17" si="0">D8*L8</f>
        <v>0</v>
      </c>
    </row>
    <row r="9" spans="1:13">
      <c r="A9" s="280">
        <v>2</v>
      </c>
      <c r="B9" s="274" t="s">
        <v>444</v>
      </c>
      <c r="C9" s="274"/>
      <c r="D9" s="274"/>
      <c r="E9" s="274">
        <v>6</v>
      </c>
      <c r="F9" s="283">
        <f t="shared" ref="F9:F17" si="1">D9*E9*C9</f>
        <v>0</v>
      </c>
      <c r="G9" s="274">
        <v>2</v>
      </c>
      <c r="H9" s="283">
        <f>F9/G9</f>
        <v>0</v>
      </c>
      <c r="I9" s="274">
        <v>8</v>
      </c>
      <c r="J9" s="283">
        <f t="shared" ref="J9:J17" si="2">H9*I9</f>
        <v>0</v>
      </c>
      <c r="K9" s="274">
        <v>1800</v>
      </c>
      <c r="L9" s="274">
        <v>1</v>
      </c>
      <c r="M9" s="283">
        <f t="shared" si="0"/>
        <v>0</v>
      </c>
    </row>
    <row r="10" spans="1:13">
      <c r="A10" s="280">
        <v>3</v>
      </c>
      <c r="B10" s="274" t="s">
        <v>445</v>
      </c>
      <c r="C10" s="274"/>
      <c r="D10" s="274"/>
      <c r="E10" s="274">
        <v>6</v>
      </c>
      <c r="F10" s="283">
        <f t="shared" si="1"/>
        <v>0</v>
      </c>
      <c r="G10" s="274">
        <v>2</v>
      </c>
      <c r="H10" s="283">
        <f>F10/G10</f>
        <v>0</v>
      </c>
      <c r="I10" s="274">
        <v>8</v>
      </c>
      <c r="J10" s="283">
        <f t="shared" si="2"/>
        <v>0</v>
      </c>
      <c r="K10" s="274">
        <v>1800</v>
      </c>
      <c r="L10" s="274">
        <v>1</v>
      </c>
      <c r="M10" s="283">
        <f t="shared" si="0"/>
        <v>0</v>
      </c>
    </row>
    <row r="11" spans="1:13">
      <c r="A11" s="280">
        <v>4</v>
      </c>
      <c r="B11" s="274" t="s">
        <v>446</v>
      </c>
      <c r="C11" s="274"/>
      <c r="D11" s="274"/>
      <c r="E11" s="274">
        <v>6</v>
      </c>
      <c r="F11" s="283">
        <f t="shared" si="1"/>
        <v>0</v>
      </c>
      <c r="G11" s="274">
        <v>2</v>
      </c>
      <c r="H11" s="283">
        <f>F11/G11</f>
        <v>0</v>
      </c>
      <c r="I11" s="274">
        <v>4</v>
      </c>
      <c r="J11" s="283">
        <f t="shared" si="2"/>
        <v>0</v>
      </c>
      <c r="K11" s="274">
        <v>1200</v>
      </c>
      <c r="L11" s="274">
        <v>1</v>
      </c>
      <c r="M11" s="283">
        <f t="shared" si="0"/>
        <v>0</v>
      </c>
    </row>
    <row r="12" spans="1:13">
      <c r="A12" s="280">
        <v>5</v>
      </c>
      <c r="B12" s="274" t="s">
        <v>447</v>
      </c>
      <c r="C12" s="274"/>
      <c r="D12" s="274"/>
      <c r="E12" s="274">
        <v>6</v>
      </c>
      <c r="F12" s="283">
        <f t="shared" si="1"/>
        <v>0</v>
      </c>
      <c r="G12" s="274">
        <v>2</v>
      </c>
      <c r="H12" s="283">
        <f>F12/G12</f>
        <v>0</v>
      </c>
      <c r="I12" s="274">
        <v>10</v>
      </c>
      <c r="J12" s="283">
        <f t="shared" si="2"/>
        <v>0</v>
      </c>
      <c r="K12" s="274">
        <v>3000</v>
      </c>
      <c r="L12" s="274">
        <v>1</v>
      </c>
      <c r="M12" s="283">
        <f t="shared" si="0"/>
        <v>0</v>
      </c>
    </row>
    <row r="13" spans="1:13">
      <c r="A13" s="280">
        <v>6</v>
      </c>
      <c r="B13" s="10"/>
      <c r="C13" s="10"/>
      <c r="D13" s="10"/>
      <c r="E13" s="10"/>
      <c r="F13" s="283">
        <f t="shared" si="1"/>
        <v>0</v>
      </c>
      <c r="G13" s="10">
        <v>0</v>
      </c>
      <c r="H13" s="274"/>
      <c r="I13" s="10"/>
      <c r="J13" s="283">
        <f t="shared" si="2"/>
        <v>0</v>
      </c>
      <c r="K13" s="10"/>
      <c r="L13" s="283"/>
      <c r="M13" s="283">
        <f t="shared" si="0"/>
        <v>0</v>
      </c>
    </row>
    <row r="14" spans="1:13">
      <c r="A14" s="280">
        <v>7</v>
      </c>
      <c r="B14" s="10"/>
      <c r="C14" s="10"/>
      <c r="D14" s="10"/>
      <c r="E14" s="10"/>
      <c r="F14" s="283">
        <f t="shared" si="1"/>
        <v>0</v>
      </c>
      <c r="G14" s="10">
        <v>0</v>
      </c>
      <c r="H14" s="274"/>
      <c r="I14" s="10"/>
      <c r="J14" s="283">
        <f t="shared" si="2"/>
        <v>0</v>
      </c>
      <c r="K14" s="10"/>
      <c r="L14" s="283"/>
      <c r="M14" s="283">
        <f t="shared" si="0"/>
        <v>0</v>
      </c>
    </row>
    <row r="15" spans="1:13">
      <c r="A15" s="280">
        <v>8</v>
      </c>
      <c r="B15" s="10"/>
      <c r="C15" s="10"/>
      <c r="D15" s="10"/>
      <c r="E15" s="10"/>
      <c r="F15" s="283">
        <f t="shared" si="1"/>
        <v>0</v>
      </c>
      <c r="G15" s="10">
        <v>0</v>
      </c>
      <c r="H15" s="274"/>
      <c r="I15" s="10"/>
      <c r="J15" s="283">
        <f t="shared" si="2"/>
        <v>0</v>
      </c>
      <c r="K15" s="10"/>
      <c r="L15" s="283"/>
      <c r="M15" s="283">
        <f t="shared" si="0"/>
        <v>0</v>
      </c>
    </row>
    <row r="16" spans="1:13">
      <c r="A16" s="280">
        <v>9</v>
      </c>
      <c r="B16" s="10"/>
      <c r="C16" s="10"/>
      <c r="D16" s="10"/>
      <c r="E16" s="10"/>
      <c r="F16" s="283">
        <f t="shared" si="1"/>
        <v>0</v>
      </c>
      <c r="G16" s="10">
        <v>0</v>
      </c>
      <c r="H16" s="274"/>
      <c r="I16" s="10"/>
      <c r="J16" s="283">
        <f t="shared" si="2"/>
        <v>0</v>
      </c>
      <c r="K16" s="10"/>
      <c r="L16" s="283"/>
      <c r="M16" s="283">
        <f t="shared" si="0"/>
        <v>0</v>
      </c>
    </row>
    <row r="17" spans="1:16">
      <c r="A17" s="280">
        <v>10</v>
      </c>
      <c r="B17" s="10"/>
      <c r="C17" s="10"/>
      <c r="D17" s="10"/>
      <c r="E17" s="10"/>
      <c r="F17" s="283">
        <f t="shared" si="1"/>
        <v>0</v>
      </c>
      <c r="G17" s="10">
        <v>0</v>
      </c>
      <c r="H17" s="274"/>
      <c r="I17" s="10"/>
      <c r="J17" s="283">
        <f t="shared" si="2"/>
        <v>0</v>
      </c>
      <c r="K17" s="10"/>
      <c r="L17" s="283"/>
      <c r="M17" s="283">
        <f t="shared" si="0"/>
        <v>0</v>
      </c>
    </row>
    <row r="18" spans="1:16">
      <c r="A18" s="15"/>
      <c r="B18" s="15"/>
      <c r="C18" s="284"/>
      <c r="D18" s="284"/>
      <c r="E18" s="284"/>
      <c r="F18" s="284"/>
      <c r="G18" s="284"/>
      <c r="H18" s="284"/>
      <c r="I18" s="284"/>
      <c r="J18" s="284"/>
      <c r="K18" s="284"/>
      <c r="L18" s="284"/>
      <c r="M18" s="282"/>
    </row>
    <row r="19" spans="1:16">
      <c r="A19" s="15"/>
      <c r="B19" s="15"/>
      <c r="C19" s="284"/>
      <c r="D19" s="284"/>
      <c r="E19" s="284"/>
      <c r="F19" s="284"/>
      <c r="G19" s="284"/>
      <c r="H19" s="284"/>
      <c r="I19" s="284"/>
      <c r="J19" s="284"/>
      <c r="K19" s="284"/>
      <c r="L19" s="284"/>
      <c r="M19" s="282"/>
    </row>
    <row r="21" spans="1:16" ht="18.75">
      <c r="A21" s="438" t="s">
        <v>613</v>
      </c>
      <c r="B21" s="438"/>
      <c r="C21" s="438"/>
      <c r="D21" s="438"/>
      <c r="E21" s="438"/>
      <c r="F21" s="438"/>
      <c r="G21" s="438"/>
      <c r="H21" s="438"/>
      <c r="I21" s="438"/>
      <c r="J21" s="438"/>
      <c r="K21" s="438"/>
    </row>
    <row r="23" spans="1:16">
      <c r="A23" s="94"/>
      <c r="B23" s="94"/>
      <c r="C23" s="94"/>
      <c r="D23" s="94"/>
      <c r="E23" s="169">
        <v>1</v>
      </c>
      <c r="F23" s="174">
        <f>(E23*5%)+E23</f>
        <v>1.05</v>
      </c>
      <c r="G23" s="174">
        <f t="shared" ref="G23:K23" si="3">(F23*5%)+F23</f>
        <v>1.1025</v>
      </c>
      <c r="H23" s="174">
        <f t="shared" si="3"/>
        <v>1.1576250000000001</v>
      </c>
      <c r="I23" s="174">
        <f t="shared" si="3"/>
        <v>1.2155062500000002</v>
      </c>
      <c r="J23" s="174">
        <f t="shared" si="3"/>
        <v>1.2762815625000004</v>
      </c>
      <c r="K23" s="174">
        <f t="shared" si="3"/>
        <v>1.3400956406250004</v>
      </c>
    </row>
    <row r="24" spans="1:16">
      <c r="A24" s="148" t="s">
        <v>0</v>
      </c>
      <c r="B24" s="148" t="s">
        <v>133</v>
      </c>
      <c r="C24" s="148" t="s">
        <v>147</v>
      </c>
      <c r="D24" s="148" t="s">
        <v>154</v>
      </c>
      <c r="E24" s="120" t="s">
        <v>2</v>
      </c>
      <c r="F24" s="120" t="s">
        <v>3</v>
      </c>
      <c r="G24" s="120" t="s">
        <v>4</v>
      </c>
      <c r="H24" s="120" t="s">
        <v>5</v>
      </c>
      <c r="I24" s="120" t="s">
        <v>6</v>
      </c>
      <c r="J24" s="120" t="s">
        <v>171</v>
      </c>
      <c r="K24" s="120" t="s">
        <v>170</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86" t="s">
        <v>460</v>
      </c>
      <c r="B27" s="109"/>
      <c r="C27" s="285"/>
      <c r="D27" s="285"/>
      <c r="E27" s="96"/>
      <c r="F27" s="96"/>
      <c r="G27" s="96"/>
      <c r="H27" s="96"/>
      <c r="I27" s="96"/>
      <c r="J27" s="96"/>
      <c r="K27" s="96"/>
      <c r="P27" s="94"/>
    </row>
    <row r="28" spans="1:16">
      <c r="A28" s="109" t="str">
        <f>B8</f>
        <v>Double Plough</v>
      </c>
      <c r="B28" s="109"/>
      <c r="C28" s="285">
        <f>H8</f>
        <v>0</v>
      </c>
      <c r="D28" s="285">
        <f>K8</f>
        <v>3000</v>
      </c>
      <c r="E28" s="96">
        <f>$C$28*$D$28*E23</f>
        <v>0</v>
      </c>
      <c r="F28" s="96">
        <f t="shared" ref="F28:K28" si="4">$C$28*$D$28*F23</f>
        <v>0</v>
      </c>
      <c r="G28" s="96">
        <f t="shared" si="4"/>
        <v>0</v>
      </c>
      <c r="H28" s="96">
        <f t="shared" si="4"/>
        <v>0</v>
      </c>
      <c r="I28" s="96">
        <f t="shared" si="4"/>
        <v>0</v>
      </c>
      <c r="J28" s="96">
        <f t="shared" si="4"/>
        <v>0</v>
      </c>
      <c r="K28" s="96">
        <f t="shared" si="4"/>
        <v>0</v>
      </c>
      <c r="P28" s="94"/>
    </row>
    <row r="29" spans="1:16">
      <c r="A29" s="109" t="str">
        <f>B9</f>
        <v>Cultivator</v>
      </c>
      <c r="B29" s="109"/>
      <c r="C29" s="285">
        <f t="shared" ref="C29:C38" si="5">H9</f>
        <v>0</v>
      </c>
      <c r="D29" s="285">
        <f>K9</f>
        <v>1800</v>
      </c>
      <c r="E29" s="96">
        <f>$C$29*$D$29*E23</f>
        <v>0</v>
      </c>
      <c r="F29" s="96">
        <f t="shared" ref="F29:K29" si="6">$C$29*$D$29*F23</f>
        <v>0</v>
      </c>
      <c r="G29" s="96">
        <f t="shared" si="6"/>
        <v>0</v>
      </c>
      <c r="H29" s="96">
        <f t="shared" si="6"/>
        <v>0</v>
      </c>
      <c r="I29" s="96">
        <f t="shared" si="6"/>
        <v>0</v>
      </c>
      <c r="J29" s="96">
        <f t="shared" si="6"/>
        <v>0</v>
      </c>
      <c r="K29" s="96">
        <f t="shared" si="6"/>
        <v>0</v>
      </c>
      <c r="P29" s="94"/>
    </row>
    <row r="30" spans="1:16">
      <c r="A30" s="109" t="str">
        <f>B10</f>
        <v>Rotavator</v>
      </c>
      <c r="B30" s="109"/>
      <c r="C30" s="285">
        <f t="shared" si="5"/>
        <v>0</v>
      </c>
      <c r="D30" s="285">
        <f>K10</f>
        <v>1800</v>
      </c>
      <c r="E30" s="96">
        <f>$C$30*$D$30*E23</f>
        <v>0</v>
      </c>
      <c r="F30" s="96">
        <f t="shared" ref="F30:K30" si="7">$C$30*$D$30*F23</f>
        <v>0</v>
      </c>
      <c r="G30" s="96">
        <f t="shared" si="7"/>
        <v>0</v>
      </c>
      <c r="H30" s="96">
        <f t="shared" si="7"/>
        <v>0</v>
      </c>
      <c r="I30" s="96">
        <f t="shared" si="7"/>
        <v>0</v>
      </c>
      <c r="J30" s="96">
        <f t="shared" si="7"/>
        <v>0</v>
      </c>
      <c r="K30" s="96">
        <f t="shared" si="7"/>
        <v>0</v>
      </c>
      <c r="P30" s="94"/>
    </row>
    <row r="31" spans="1:16">
      <c r="A31" s="109" t="str">
        <f>B11</f>
        <v>BBF Seed Sowing Machine</v>
      </c>
      <c r="B31" s="109"/>
      <c r="C31" s="285">
        <f t="shared" si="5"/>
        <v>0</v>
      </c>
      <c r="D31" s="285">
        <f>K11</f>
        <v>1200</v>
      </c>
      <c r="E31" s="96">
        <f>$C$31*$D$31*E23</f>
        <v>0</v>
      </c>
      <c r="F31" s="96">
        <f t="shared" ref="F31:K31" si="8">$C$31*$D$31*F23</f>
        <v>0</v>
      </c>
      <c r="G31" s="96">
        <f t="shared" si="8"/>
        <v>0</v>
      </c>
      <c r="H31" s="96">
        <f t="shared" si="8"/>
        <v>0</v>
      </c>
      <c r="I31" s="96">
        <f t="shared" si="8"/>
        <v>0</v>
      </c>
      <c r="J31" s="96">
        <f t="shared" si="8"/>
        <v>0</v>
      </c>
      <c r="K31" s="96">
        <f t="shared" si="8"/>
        <v>0</v>
      </c>
      <c r="P31" s="94"/>
    </row>
    <row r="32" spans="1:16">
      <c r="A32" s="109" t="str">
        <f>B12</f>
        <v>Mobile Threshing</v>
      </c>
      <c r="B32" s="109"/>
      <c r="C32" s="285">
        <f t="shared" si="5"/>
        <v>0</v>
      </c>
      <c r="D32" s="285">
        <f>K12</f>
        <v>3000</v>
      </c>
      <c r="E32" s="96">
        <f>$C$32*$D$32*E23</f>
        <v>0</v>
      </c>
      <c r="F32" s="96">
        <f t="shared" ref="F32:K32" si="9">$C$32*$D$32*F23</f>
        <v>0</v>
      </c>
      <c r="G32" s="96">
        <f t="shared" si="9"/>
        <v>0</v>
      </c>
      <c r="H32" s="96">
        <f t="shared" si="9"/>
        <v>0</v>
      </c>
      <c r="I32" s="96">
        <f t="shared" si="9"/>
        <v>0</v>
      </c>
      <c r="J32" s="96">
        <f t="shared" si="9"/>
        <v>0</v>
      </c>
      <c r="K32" s="96">
        <f t="shared" si="9"/>
        <v>0</v>
      </c>
      <c r="P32" s="94"/>
    </row>
    <row r="33" spans="1:16">
      <c r="A33" s="109"/>
      <c r="B33" s="109"/>
      <c r="C33" s="285">
        <f t="shared" si="5"/>
        <v>0</v>
      </c>
      <c r="D33" s="285">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285">
        <f t="shared" si="5"/>
        <v>0</v>
      </c>
      <c r="D34" s="285">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285">
        <f t="shared" si="5"/>
        <v>0</v>
      </c>
      <c r="D35" s="285">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285">
        <f t="shared" si="5"/>
        <v>0</v>
      </c>
      <c r="D36" s="285">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285">
        <f t="shared" si="5"/>
        <v>0</v>
      </c>
      <c r="D37" s="285">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285">
        <f t="shared" si="5"/>
        <v>0</v>
      </c>
      <c r="D38" s="285">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0</v>
      </c>
      <c r="F39" s="96">
        <f t="shared" ref="F39:K39" si="17">SUM(F28:F38)</f>
        <v>0</v>
      </c>
      <c r="G39" s="96">
        <f t="shared" si="17"/>
        <v>0</v>
      </c>
      <c r="H39" s="96">
        <f t="shared" si="17"/>
        <v>0</v>
      </c>
      <c r="I39" s="96">
        <f t="shared" si="17"/>
        <v>0</v>
      </c>
      <c r="J39" s="96">
        <f t="shared" si="17"/>
        <v>0</v>
      </c>
      <c r="K39" s="96">
        <f t="shared" si="17"/>
        <v>0</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310</v>
      </c>
      <c r="B42" s="97"/>
      <c r="C42" s="101"/>
      <c r="D42" s="101"/>
      <c r="E42" s="96"/>
      <c r="F42" s="96"/>
      <c r="G42" s="96"/>
      <c r="H42" s="96"/>
      <c r="I42" s="96"/>
      <c r="J42" s="96"/>
      <c r="K42" s="96"/>
    </row>
    <row r="43" spans="1:16">
      <c r="A43" s="95" t="s">
        <v>311</v>
      </c>
      <c r="B43" s="95" t="s">
        <v>457</v>
      </c>
      <c r="C43" s="99">
        <f>SUM(J8:J17)</f>
        <v>0</v>
      </c>
      <c r="D43" s="223">
        <v>100</v>
      </c>
      <c r="E43" s="96">
        <f>$C$43*$D$43*E23</f>
        <v>0</v>
      </c>
      <c r="F43" s="96">
        <f t="shared" ref="F43:K43" si="18">$C$43*$D$43*F23</f>
        <v>0</v>
      </c>
      <c r="G43" s="96">
        <f t="shared" si="18"/>
        <v>0</v>
      </c>
      <c r="H43" s="96">
        <f t="shared" si="18"/>
        <v>0</v>
      </c>
      <c r="I43" s="96">
        <f t="shared" si="18"/>
        <v>0</v>
      </c>
      <c r="J43" s="96">
        <f t="shared" si="18"/>
        <v>0</v>
      </c>
      <c r="K43" s="96">
        <f t="shared" si="18"/>
        <v>0</v>
      </c>
    </row>
    <row r="44" spans="1:16">
      <c r="A44" s="95" t="s">
        <v>312</v>
      </c>
      <c r="B44" s="95" t="s">
        <v>459</v>
      </c>
      <c r="C44" s="99">
        <f>SUM(M8:M17)</f>
        <v>0</v>
      </c>
      <c r="D44" s="223">
        <v>300</v>
      </c>
      <c r="E44" s="96">
        <f>$C$44*$D$44*E23</f>
        <v>0</v>
      </c>
      <c r="F44" s="96">
        <f t="shared" ref="F44:K44" si="19">$C$44*$D$44*F23</f>
        <v>0</v>
      </c>
      <c r="G44" s="96">
        <f t="shared" si="19"/>
        <v>0</v>
      </c>
      <c r="H44" s="96">
        <f t="shared" si="19"/>
        <v>0</v>
      </c>
      <c r="I44" s="96">
        <f t="shared" si="19"/>
        <v>0</v>
      </c>
      <c r="J44" s="96">
        <f t="shared" si="19"/>
        <v>0</v>
      </c>
      <c r="K44" s="96">
        <f t="shared" si="19"/>
        <v>0</v>
      </c>
    </row>
    <row r="45" spans="1:16">
      <c r="A45" s="95"/>
      <c r="B45" s="95"/>
      <c r="C45" s="223"/>
      <c r="D45" s="223"/>
      <c r="E45" s="96"/>
      <c r="F45" s="96"/>
      <c r="G45" s="96"/>
      <c r="H45" s="96"/>
      <c r="I45" s="96"/>
      <c r="J45" s="96"/>
      <c r="K45" s="96"/>
    </row>
    <row r="46" spans="1:16">
      <c r="A46" s="95"/>
      <c r="B46" s="95"/>
      <c r="C46" s="223"/>
      <c r="D46" s="223"/>
      <c r="E46" s="96"/>
      <c r="F46" s="96"/>
      <c r="G46" s="96"/>
      <c r="H46" s="96"/>
      <c r="I46" s="96"/>
      <c r="J46" s="96"/>
      <c r="K46" s="96"/>
    </row>
    <row r="47" spans="1:16">
      <c r="A47" s="95"/>
      <c r="B47" s="95"/>
      <c r="C47" s="223"/>
      <c r="D47" s="223"/>
      <c r="E47" s="96"/>
      <c r="F47" s="96"/>
      <c r="G47" s="96"/>
      <c r="H47" s="96"/>
      <c r="I47" s="96"/>
      <c r="J47" s="96"/>
      <c r="K47" s="96"/>
    </row>
    <row r="48" spans="1:16">
      <c r="A48" s="95"/>
      <c r="B48" s="95"/>
      <c r="C48" s="223"/>
      <c r="D48" s="223"/>
      <c r="E48" s="96"/>
      <c r="F48" s="96"/>
      <c r="G48" s="96"/>
      <c r="H48" s="96"/>
      <c r="I48" s="96"/>
      <c r="J48" s="96"/>
      <c r="K48" s="96"/>
    </row>
    <row r="49" spans="1:12">
      <c r="A49" s="97" t="s">
        <v>326</v>
      </c>
      <c r="B49" s="97"/>
      <c r="C49" s="228"/>
      <c r="D49" s="228"/>
      <c r="E49" s="115">
        <f>SUM(E43:E48)</f>
        <v>0</v>
      </c>
      <c r="F49" s="115">
        <f t="shared" ref="F49:K49" si="20">SUM(F43:F48)</f>
        <v>0</v>
      </c>
      <c r="G49" s="115">
        <f t="shared" si="20"/>
        <v>0</v>
      </c>
      <c r="H49" s="115">
        <f t="shared" si="20"/>
        <v>0</v>
      </c>
      <c r="I49" s="115">
        <f t="shared" si="20"/>
        <v>0</v>
      </c>
      <c r="J49" s="115">
        <f t="shared" si="20"/>
        <v>0</v>
      </c>
      <c r="K49" s="115">
        <f t="shared" si="20"/>
        <v>0</v>
      </c>
    </row>
    <row r="50" spans="1:12">
      <c r="A50" s="97"/>
      <c r="B50" s="97"/>
      <c r="C50" s="228"/>
      <c r="D50" s="228"/>
      <c r="E50" s="115"/>
      <c r="F50" s="115"/>
      <c r="G50" s="115"/>
      <c r="H50" s="115"/>
      <c r="I50" s="115"/>
      <c r="J50" s="115"/>
      <c r="K50" s="115"/>
    </row>
    <row r="51" spans="1:12">
      <c r="A51" s="186" t="s">
        <v>313</v>
      </c>
      <c r="B51" s="186"/>
      <c r="C51" s="245"/>
      <c r="D51" s="245"/>
      <c r="E51" s="96"/>
      <c r="F51" s="96"/>
      <c r="G51" s="96"/>
      <c r="H51" s="96"/>
      <c r="I51" s="96"/>
      <c r="J51" s="96"/>
      <c r="K51" s="96"/>
    </row>
    <row r="52" spans="1:12">
      <c r="A52" s="109" t="s">
        <v>314</v>
      </c>
      <c r="B52" s="95" t="s">
        <v>400</v>
      </c>
      <c r="C52" s="245">
        <v>1</v>
      </c>
      <c r="D52" s="246"/>
      <c r="E52" s="96">
        <f t="shared" ref="E52:K52" si="21">$C$52*$D$52*12*E23</f>
        <v>0</v>
      </c>
      <c r="F52" s="96">
        <f t="shared" si="21"/>
        <v>0</v>
      </c>
      <c r="G52" s="96">
        <f t="shared" si="21"/>
        <v>0</v>
      </c>
      <c r="H52" s="96">
        <f t="shared" si="21"/>
        <v>0</v>
      </c>
      <c r="I52" s="96">
        <f t="shared" si="21"/>
        <v>0</v>
      </c>
      <c r="J52" s="96">
        <f t="shared" si="21"/>
        <v>0</v>
      </c>
      <c r="K52" s="96">
        <f t="shared" si="21"/>
        <v>0</v>
      </c>
    </row>
    <row r="53" spans="1:12">
      <c r="A53" s="109"/>
      <c r="B53" s="109"/>
      <c r="C53" s="245"/>
      <c r="D53" s="246"/>
      <c r="E53" s="96"/>
      <c r="F53" s="96"/>
      <c r="G53" s="96"/>
      <c r="H53" s="96"/>
      <c r="I53" s="96"/>
      <c r="J53" s="96"/>
      <c r="K53" s="96"/>
    </row>
    <row r="54" spans="1:12">
      <c r="A54" s="109"/>
      <c r="B54" s="109"/>
      <c r="C54" s="245"/>
      <c r="D54" s="246"/>
      <c r="E54" s="96"/>
      <c r="F54" s="96"/>
      <c r="G54" s="96"/>
      <c r="H54" s="96"/>
      <c r="I54" s="96"/>
      <c r="J54" s="96"/>
      <c r="K54" s="96"/>
    </row>
    <row r="55" spans="1:12">
      <c r="A55" s="109"/>
      <c r="B55" s="109"/>
      <c r="C55" s="245"/>
      <c r="D55" s="246"/>
      <c r="E55" s="96"/>
      <c r="F55" s="96"/>
      <c r="G55" s="96"/>
      <c r="H55" s="96"/>
      <c r="I55" s="96"/>
      <c r="J55" s="96"/>
      <c r="K55" s="96"/>
    </row>
    <row r="56" spans="1:12">
      <c r="A56" s="97" t="s">
        <v>330</v>
      </c>
      <c r="B56" s="97"/>
      <c r="C56" s="97"/>
      <c r="D56" s="97"/>
      <c r="E56" s="115">
        <f>SUM(E52:E55)</f>
        <v>0</v>
      </c>
      <c r="F56" s="115">
        <f t="shared" ref="F56:K56" si="22">SUM(F52:F55)</f>
        <v>0</v>
      </c>
      <c r="G56" s="115">
        <f t="shared" si="22"/>
        <v>0</v>
      </c>
      <c r="H56" s="115">
        <f t="shared" si="22"/>
        <v>0</v>
      </c>
      <c r="I56" s="115">
        <f t="shared" si="22"/>
        <v>0</v>
      </c>
      <c r="J56" s="115">
        <f t="shared" si="22"/>
        <v>0</v>
      </c>
      <c r="K56" s="115">
        <f t="shared" si="22"/>
        <v>0</v>
      </c>
    </row>
    <row r="57" spans="1:12">
      <c r="A57" s="97" t="s">
        <v>130</v>
      </c>
      <c r="B57" s="97"/>
      <c r="C57" s="97"/>
      <c r="D57" s="97"/>
      <c r="E57" s="115">
        <f>E49+E56</f>
        <v>0</v>
      </c>
      <c r="F57" s="115">
        <f t="shared" ref="F57:K57" si="23">F49+F56</f>
        <v>0</v>
      </c>
      <c r="G57" s="115">
        <f t="shared" si="23"/>
        <v>0</v>
      </c>
      <c r="H57" s="115">
        <f t="shared" si="23"/>
        <v>0</v>
      </c>
      <c r="I57" s="115">
        <f t="shared" si="23"/>
        <v>0</v>
      </c>
      <c r="J57" s="115">
        <f t="shared" si="23"/>
        <v>0</v>
      </c>
      <c r="K57" s="115">
        <f t="shared" si="23"/>
        <v>0</v>
      </c>
    </row>
    <row r="58" spans="1:12">
      <c r="A58" s="95"/>
      <c r="B58" s="95"/>
      <c r="C58" s="95"/>
      <c r="D58" s="95"/>
      <c r="E58" s="96"/>
      <c r="F58" s="96"/>
      <c r="G58" s="96"/>
      <c r="H58" s="96"/>
      <c r="I58" s="96"/>
      <c r="J58" s="96"/>
      <c r="K58" s="96"/>
    </row>
    <row r="59" spans="1:12">
      <c r="A59" s="97" t="s">
        <v>317</v>
      </c>
      <c r="B59" s="97"/>
      <c r="C59" s="97"/>
      <c r="D59" s="97"/>
      <c r="E59" s="115">
        <f t="shared" ref="E59:K59" si="24">E39-E57</f>
        <v>0</v>
      </c>
      <c r="F59" s="115">
        <f t="shared" si="24"/>
        <v>0</v>
      </c>
      <c r="G59" s="115">
        <f t="shared" si="24"/>
        <v>0</v>
      </c>
      <c r="H59" s="115">
        <f t="shared" si="24"/>
        <v>0</v>
      </c>
      <c r="I59" s="115">
        <f t="shared" si="24"/>
        <v>0</v>
      </c>
      <c r="J59" s="115">
        <f t="shared" si="24"/>
        <v>0</v>
      </c>
      <c r="K59" s="115">
        <f t="shared" si="24"/>
        <v>0</v>
      </c>
    </row>
    <row r="60" spans="1:12">
      <c r="A60" s="262"/>
      <c r="B60" s="262"/>
      <c r="C60" s="262"/>
      <c r="D60" s="262"/>
      <c r="E60" s="263"/>
      <c r="F60" s="263"/>
      <c r="G60" s="263"/>
      <c r="H60" s="263"/>
      <c r="I60" s="263"/>
      <c r="J60" s="263"/>
      <c r="K60" s="263"/>
    </row>
    <row r="61" spans="1:12">
      <c r="A61" s="94"/>
      <c r="B61" s="94"/>
      <c r="C61" s="262"/>
      <c r="D61" s="262"/>
      <c r="E61" s="263"/>
      <c r="F61" s="263"/>
      <c r="G61" s="263"/>
      <c r="H61" s="263"/>
      <c r="I61" s="263"/>
      <c r="J61" s="263"/>
      <c r="K61" s="263"/>
    </row>
    <row r="62" spans="1:12">
      <c r="A62" s="439" t="s">
        <v>432</v>
      </c>
      <c r="B62" s="439"/>
      <c r="C62" s="439"/>
      <c r="D62" s="439"/>
      <c r="E62" s="439"/>
      <c r="F62" s="439"/>
      <c r="G62" s="439"/>
      <c r="H62" s="439"/>
      <c r="I62" s="439"/>
      <c r="J62" s="439"/>
      <c r="K62" s="439"/>
      <c r="L62" s="439"/>
    </row>
    <row r="65" spans="1:2">
      <c r="A65" t="s">
        <v>555</v>
      </c>
    </row>
    <row r="66" spans="1:2">
      <c r="A66">
        <v>1</v>
      </c>
      <c r="B66" t="s">
        <v>568</v>
      </c>
    </row>
    <row r="67" spans="1:2">
      <c r="A67">
        <v>2</v>
      </c>
      <c r="B67" t="s">
        <v>569</v>
      </c>
    </row>
    <row r="68" spans="1:2">
      <c r="A68">
        <v>3</v>
      </c>
      <c r="B68" s="94" t="s">
        <v>621</v>
      </c>
    </row>
  </sheetData>
  <mergeCells count="4">
    <mergeCell ref="A21:K21"/>
    <mergeCell ref="A3:L3"/>
    <mergeCell ref="A62:L62"/>
    <mergeCell ref="A4:L4"/>
  </mergeCells>
  <pageMargins left="0.7" right="0.7" top="0.75" bottom="0.75" header="0.3" footer="0.3"/>
  <pageSetup paperSize="9" scale="29" fitToHeight="0"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84"/>
  <sheetViews>
    <sheetView view="pageBreakPreview" topLeftCell="A82" zoomScale="80" zoomScaleSheetLayoutView="80" workbookViewId="0">
      <selection sqref="A1:J280"/>
    </sheetView>
  </sheetViews>
  <sheetFormatPr defaultRowHeight="15"/>
  <cols>
    <col min="1" max="1" width="41.140625" bestFit="1" customWidth="1"/>
    <col min="2" max="2" width="4.42578125" bestFit="1" customWidth="1"/>
    <col min="3" max="3" width="14.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38" t="s">
        <v>614</v>
      </c>
      <c r="B2" s="438"/>
      <c r="C2" s="438"/>
      <c r="D2" s="438"/>
      <c r="E2" s="438"/>
      <c r="F2" s="438"/>
      <c r="G2" s="438"/>
      <c r="H2" s="438"/>
      <c r="I2" s="438"/>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571</v>
      </c>
      <c r="B7" s="99"/>
      <c r="C7" s="99"/>
      <c r="D7" s="99"/>
      <c r="E7" s="99"/>
      <c r="F7" s="99"/>
      <c r="G7" s="99"/>
      <c r="H7" s="99"/>
      <c r="I7" s="99"/>
    </row>
    <row r="8" spans="1:9">
      <c r="A8" s="101" t="s">
        <v>180</v>
      </c>
      <c r="B8" s="195"/>
      <c r="C8" s="244"/>
      <c r="D8" s="244"/>
      <c r="E8" s="244"/>
      <c r="F8" s="244"/>
      <c r="G8" s="244"/>
      <c r="H8" s="244"/>
      <c r="I8" s="244"/>
    </row>
    <row r="9" spans="1:9">
      <c r="A9" s="99" t="str">
        <f>'10.Grain Production details'!A92</f>
        <v>Soybean</v>
      </c>
      <c r="B9" s="195"/>
      <c r="C9" s="244">
        <f>'10.Grain Production details'!B92</f>
        <v>823.68000000000006</v>
      </c>
      <c r="D9" s="244">
        <f>'10.Grain Production details'!C92</f>
        <v>887.04000000000008</v>
      </c>
      <c r="E9" s="244">
        <f>'10.Grain Production details'!D92</f>
        <v>950.4000000000002</v>
      </c>
      <c r="F9" s="244">
        <f>'10.Grain Production details'!E92</f>
        <v>1013.7600000000002</v>
      </c>
      <c r="G9" s="244">
        <f>'10.Grain Production details'!F92</f>
        <v>1077.1200000000003</v>
      </c>
      <c r="H9" s="244">
        <f>'10.Grain Production details'!G92</f>
        <v>1140.4800000000002</v>
      </c>
      <c r="I9" s="244">
        <f>'10.Grain Production details'!H92</f>
        <v>1203.8400000000001</v>
      </c>
    </row>
    <row r="10" spans="1:9">
      <c r="A10" s="99" t="str">
        <f>'10.Grain Production details'!A93</f>
        <v>Red Gram/Tur</v>
      </c>
      <c r="B10" s="195"/>
      <c r="C10" s="244">
        <f>'10.Grain Production details'!B93</f>
        <v>0</v>
      </c>
      <c r="D10" s="244">
        <f>'10.Grain Production details'!C93</f>
        <v>0</v>
      </c>
      <c r="E10" s="244">
        <f>'10.Grain Production details'!D93</f>
        <v>0</v>
      </c>
      <c r="F10" s="244">
        <f>'10.Grain Production details'!E93</f>
        <v>0</v>
      </c>
      <c r="G10" s="244">
        <f>'10.Grain Production details'!F93</f>
        <v>0</v>
      </c>
      <c r="H10" s="244">
        <f>'10.Grain Production details'!G93</f>
        <v>0</v>
      </c>
      <c r="I10" s="244">
        <f>'10.Grain Production details'!H93</f>
        <v>0</v>
      </c>
    </row>
    <row r="11" spans="1:9">
      <c r="A11" s="99" t="str">
        <f>'10.Grain Production details'!A94</f>
        <v>Paddy/Rice</v>
      </c>
      <c r="B11" s="195"/>
      <c r="C11" s="244">
        <f>'10.Grain Production details'!B94</f>
        <v>0</v>
      </c>
      <c r="D11" s="244">
        <f>'10.Grain Production details'!C94</f>
        <v>0</v>
      </c>
      <c r="E11" s="244">
        <f>'10.Grain Production details'!D94</f>
        <v>0</v>
      </c>
      <c r="F11" s="244">
        <f>'10.Grain Production details'!E94</f>
        <v>0</v>
      </c>
      <c r="G11" s="244">
        <f>'10.Grain Production details'!F94</f>
        <v>0</v>
      </c>
      <c r="H11" s="244">
        <f>'10.Grain Production details'!G94</f>
        <v>0</v>
      </c>
      <c r="I11" s="244">
        <f>'10.Grain Production details'!H94</f>
        <v>0</v>
      </c>
    </row>
    <row r="12" spans="1:9">
      <c r="A12" s="99" t="str">
        <f>'10.Grain Production details'!A95</f>
        <v>Green Gram/ Moong</v>
      </c>
      <c r="B12" s="195"/>
      <c r="C12" s="244">
        <f>'10.Grain Production details'!B95</f>
        <v>0</v>
      </c>
      <c r="D12" s="244">
        <f>'10.Grain Production details'!C95</f>
        <v>0</v>
      </c>
      <c r="E12" s="244">
        <f>'10.Grain Production details'!D95</f>
        <v>0</v>
      </c>
      <c r="F12" s="244">
        <f>'10.Grain Production details'!E95</f>
        <v>0</v>
      </c>
      <c r="G12" s="244">
        <f>'10.Grain Production details'!F95</f>
        <v>0</v>
      </c>
      <c r="H12" s="244">
        <f>'10.Grain Production details'!G95</f>
        <v>0</v>
      </c>
      <c r="I12" s="244">
        <f>'10.Grain Production details'!H95</f>
        <v>0</v>
      </c>
    </row>
    <row r="13" spans="1:9">
      <c r="A13" s="99" t="str">
        <f>'10.Grain Production details'!A96</f>
        <v>Maize</v>
      </c>
      <c r="B13" s="195"/>
      <c r="C13" s="244">
        <f>'10.Grain Production details'!B96</f>
        <v>0</v>
      </c>
      <c r="D13" s="244">
        <f>'10.Grain Production details'!C96</f>
        <v>0</v>
      </c>
      <c r="E13" s="244">
        <f>'10.Grain Production details'!D96</f>
        <v>0</v>
      </c>
      <c r="F13" s="244">
        <f>'10.Grain Production details'!E96</f>
        <v>0</v>
      </c>
      <c r="G13" s="244">
        <f>'10.Grain Production details'!F96</f>
        <v>0</v>
      </c>
      <c r="H13" s="244">
        <f>'10.Grain Production details'!G96</f>
        <v>0</v>
      </c>
      <c r="I13" s="244">
        <f>'10.Grain Production details'!H96</f>
        <v>0</v>
      </c>
    </row>
    <row r="14" spans="1:9">
      <c r="A14" s="99" t="str">
        <f>'10.Grain Production details'!A97</f>
        <v>Black Gram/Udid</v>
      </c>
      <c r="B14" s="195"/>
      <c r="C14" s="244">
        <f>'10.Grain Production details'!B97</f>
        <v>0</v>
      </c>
      <c r="D14" s="244">
        <f>'10.Grain Production details'!C97</f>
        <v>0</v>
      </c>
      <c r="E14" s="244">
        <f>'10.Grain Production details'!D97</f>
        <v>0</v>
      </c>
      <c r="F14" s="244">
        <f>'10.Grain Production details'!E97</f>
        <v>0</v>
      </c>
      <c r="G14" s="244">
        <f>'10.Grain Production details'!F97</f>
        <v>0</v>
      </c>
      <c r="H14" s="244">
        <f>'10.Grain Production details'!G97</f>
        <v>0</v>
      </c>
      <c r="I14" s="244">
        <f>'10.Grain Production details'!H97</f>
        <v>0</v>
      </c>
    </row>
    <row r="15" spans="1:9">
      <c r="A15" s="99" t="str">
        <f>'10.Grain Production details'!A98</f>
        <v>Bajra</v>
      </c>
      <c r="B15" s="195"/>
      <c r="C15" s="244">
        <f>'10.Grain Production details'!B98</f>
        <v>0</v>
      </c>
      <c r="D15" s="244">
        <f>'10.Grain Production details'!C98</f>
        <v>0</v>
      </c>
      <c r="E15" s="244">
        <f>'10.Grain Production details'!D98</f>
        <v>0</v>
      </c>
      <c r="F15" s="244">
        <f>'10.Grain Production details'!E98</f>
        <v>0</v>
      </c>
      <c r="G15" s="244">
        <f>'10.Grain Production details'!F98</f>
        <v>0</v>
      </c>
      <c r="H15" s="244">
        <f>'10.Grain Production details'!G98</f>
        <v>0</v>
      </c>
      <c r="I15" s="244">
        <f>'10.Grain Production details'!H98</f>
        <v>0</v>
      </c>
    </row>
    <row r="16" spans="1:9">
      <c r="A16" s="99" t="str">
        <f>'10.Grain Production details'!A99</f>
        <v>Jawar</v>
      </c>
      <c r="B16" s="195"/>
      <c r="C16" s="244">
        <f>'10.Grain Production details'!B99</f>
        <v>0</v>
      </c>
      <c r="D16" s="244">
        <f>'10.Grain Production details'!C99</f>
        <v>0</v>
      </c>
      <c r="E16" s="244">
        <f>'10.Grain Production details'!D99</f>
        <v>0</v>
      </c>
      <c r="F16" s="244">
        <f>'10.Grain Production details'!E99</f>
        <v>0</v>
      </c>
      <c r="G16" s="244">
        <f>'10.Grain Production details'!F99</f>
        <v>0</v>
      </c>
      <c r="H16" s="244">
        <f>'10.Grain Production details'!G99</f>
        <v>0</v>
      </c>
      <c r="I16" s="244">
        <f>'10.Grain Production details'!H99</f>
        <v>0</v>
      </c>
    </row>
    <row r="17" spans="1:9">
      <c r="A17" s="101" t="s">
        <v>184</v>
      </c>
      <c r="B17" s="195"/>
      <c r="C17" s="244"/>
      <c r="D17" s="244"/>
      <c r="E17" s="244"/>
      <c r="F17" s="244"/>
      <c r="G17" s="244"/>
      <c r="H17" s="244"/>
      <c r="I17" s="244"/>
    </row>
    <row r="18" spans="1:9">
      <c r="A18" s="99" t="str">
        <f>'10.Grain Production details'!A101</f>
        <v>Wheat</v>
      </c>
      <c r="B18" s="195"/>
      <c r="C18" s="244">
        <f>'10.Grain Production details'!B101</f>
        <v>0</v>
      </c>
      <c r="D18" s="244">
        <f>'10.Grain Production details'!C101</f>
        <v>0</v>
      </c>
      <c r="E18" s="244">
        <f>'10.Grain Production details'!D101</f>
        <v>0</v>
      </c>
      <c r="F18" s="244">
        <f>'10.Grain Production details'!E101</f>
        <v>0</v>
      </c>
      <c r="G18" s="244">
        <f>'10.Grain Production details'!F101</f>
        <v>0</v>
      </c>
      <c r="H18" s="244">
        <f>'10.Grain Production details'!G101</f>
        <v>0</v>
      </c>
      <c r="I18" s="244">
        <f>'10.Grain Production details'!H101</f>
        <v>0</v>
      </c>
    </row>
    <row r="19" spans="1:9">
      <c r="A19" s="99" t="str">
        <f>'10.Grain Production details'!A102</f>
        <v>Bengal Gram/Channa</v>
      </c>
      <c r="B19" s="195"/>
      <c r="C19" s="244">
        <f>'10.Grain Production details'!B102</f>
        <v>183.04000000000002</v>
      </c>
      <c r="D19" s="244">
        <f>'10.Grain Production details'!C102</f>
        <v>197.12000000000003</v>
      </c>
      <c r="E19" s="244">
        <f>'10.Grain Production details'!D102</f>
        <v>211.20000000000005</v>
      </c>
      <c r="F19" s="244">
        <f>'10.Grain Production details'!E102</f>
        <v>225.28000000000006</v>
      </c>
      <c r="G19" s="244">
        <f>'10.Grain Production details'!F102</f>
        <v>239.36000000000007</v>
      </c>
      <c r="H19" s="244">
        <f>'10.Grain Production details'!G102</f>
        <v>253.44000000000008</v>
      </c>
      <c r="I19" s="244">
        <f>'10.Grain Production details'!H102</f>
        <v>267.5200000000001</v>
      </c>
    </row>
    <row r="20" spans="1:9">
      <c r="A20" s="99" t="str">
        <f>'10.Grain Production details'!A103</f>
        <v>Jawar</v>
      </c>
      <c r="B20" s="195"/>
      <c r="C20" s="244">
        <f>'10.Grain Production details'!B103</f>
        <v>0</v>
      </c>
      <c r="D20" s="244">
        <f>'10.Grain Production details'!C103</f>
        <v>0</v>
      </c>
      <c r="E20" s="244">
        <f>'10.Grain Production details'!D103</f>
        <v>0</v>
      </c>
      <c r="F20" s="244">
        <f>'10.Grain Production details'!E103</f>
        <v>0</v>
      </c>
      <c r="G20" s="244">
        <f>'10.Grain Production details'!F103</f>
        <v>0</v>
      </c>
      <c r="H20" s="244">
        <f>'10.Grain Production details'!G103</f>
        <v>0</v>
      </c>
      <c r="I20" s="244">
        <f>'10.Grain Production details'!H103</f>
        <v>0</v>
      </c>
    </row>
    <row r="21" spans="1:9">
      <c r="A21" s="99" t="str">
        <f>'10.Grain Production details'!A104</f>
        <v>Maize</v>
      </c>
      <c r="B21" s="195"/>
      <c r="C21" s="244">
        <f>'10.Grain Production details'!B104</f>
        <v>0</v>
      </c>
      <c r="D21" s="244">
        <f>'10.Grain Production details'!C104</f>
        <v>0</v>
      </c>
      <c r="E21" s="244">
        <f>'10.Grain Production details'!D104</f>
        <v>0</v>
      </c>
      <c r="F21" s="244">
        <f>'10.Grain Production details'!E104</f>
        <v>0</v>
      </c>
      <c r="G21" s="244">
        <f>'10.Grain Production details'!F104</f>
        <v>0</v>
      </c>
      <c r="H21" s="244">
        <f>'10.Grain Production details'!G104</f>
        <v>0</v>
      </c>
      <c r="I21" s="244">
        <f>'10.Grain Production details'!H104</f>
        <v>0</v>
      </c>
    </row>
    <row r="22" spans="1:9">
      <c r="A22" s="99" t="str">
        <f>'10.Grain Production details'!A105</f>
        <v>Safflower</v>
      </c>
      <c r="B22" s="195"/>
      <c r="C22" s="244">
        <f>'10.Grain Production details'!B105</f>
        <v>0</v>
      </c>
      <c r="D22" s="244">
        <f>'10.Grain Production details'!C105</f>
        <v>0</v>
      </c>
      <c r="E22" s="244">
        <f>'10.Grain Production details'!D105</f>
        <v>0</v>
      </c>
      <c r="F22" s="244">
        <f>'10.Grain Production details'!E105</f>
        <v>0</v>
      </c>
      <c r="G22" s="244">
        <f>'10.Grain Production details'!F105</f>
        <v>0</v>
      </c>
      <c r="H22" s="244">
        <f>'10.Grain Production details'!G105</f>
        <v>0</v>
      </c>
      <c r="I22" s="244">
        <f>'10.Grain Production details'!H105</f>
        <v>0</v>
      </c>
    </row>
    <row r="23" spans="1:9">
      <c r="A23" s="99">
        <f>'10.Grain Production details'!A106</f>
        <v>0</v>
      </c>
      <c r="B23" s="195"/>
      <c r="C23" s="244">
        <f>'10.Grain Production details'!B106</f>
        <v>0</v>
      </c>
      <c r="D23" s="244">
        <f>'10.Grain Production details'!C106</f>
        <v>0</v>
      </c>
      <c r="E23" s="244">
        <f>'10.Grain Production details'!D106</f>
        <v>0</v>
      </c>
      <c r="F23" s="244">
        <f>'10.Grain Production details'!E106</f>
        <v>0</v>
      </c>
      <c r="G23" s="244">
        <f>'10.Grain Production details'!F106</f>
        <v>0</v>
      </c>
      <c r="H23" s="244">
        <f>'10.Grain Production details'!G106</f>
        <v>0</v>
      </c>
      <c r="I23" s="244">
        <f>'10.Grain Production details'!H106</f>
        <v>0</v>
      </c>
    </row>
    <row r="24" spans="1:9">
      <c r="A24" s="99">
        <f>'10.Grain Production details'!A107</f>
        <v>0</v>
      </c>
      <c r="B24" s="195"/>
      <c r="C24" s="244">
        <f>'10.Grain Production details'!B107</f>
        <v>0</v>
      </c>
      <c r="D24" s="244">
        <f>'10.Grain Production details'!C107</f>
        <v>0</v>
      </c>
      <c r="E24" s="244">
        <f>'10.Grain Production details'!D107</f>
        <v>0</v>
      </c>
      <c r="F24" s="244">
        <f>'10.Grain Production details'!E107</f>
        <v>0</v>
      </c>
      <c r="G24" s="244">
        <f>'10.Grain Production details'!F107</f>
        <v>0</v>
      </c>
      <c r="H24" s="244">
        <f>'10.Grain Production details'!G107</f>
        <v>0</v>
      </c>
      <c r="I24" s="244">
        <f>'10.Grain Production details'!H107</f>
        <v>0</v>
      </c>
    </row>
    <row r="25" spans="1:9">
      <c r="A25" s="99">
        <f>'10.Grain Production details'!A108</f>
        <v>0</v>
      </c>
      <c r="B25" s="195"/>
      <c r="C25" s="244">
        <f>'10.Grain Production details'!B108</f>
        <v>0</v>
      </c>
      <c r="D25" s="244">
        <f>'10.Grain Production details'!C108</f>
        <v>0</v>
      </c>
      <c r="E25" s="244">
        <f>'10.Grain Production details'!D108</f>
        <v>0</v>
      </c>
      <c r="F25" s="244">
        <f>'10.Grain Production details'!E108</f>
        <v>0</v>
      </c>
      <c r="G25" s="244">
        <f>'10.Grain Production details'!F108</f>
        <v>0</v>
      </c>
      <c r="H25" s="244">
        <f>'10.Grain Production details'!G108</f>
        <v>0</v>
      </c>
      <c r="I25" s="244">
        <f>'10.Grain Production details'!H108</f>
        <v>0</v>
      </c>
    </row>
    <row r="26" spans="1:9">
      <c r="A26" s="101" t="str">
        <f>'10.Grain Production details'!A33</f>
        <v>Summer</v>
      </c>
      <c r="B26" s="195"/>
      <c r="C26" s="244"/>
      <c r="D26" s="244"/>
      <c r="E26" s="244"/>
      <c r="F26" s="244"/>
      <c r="G26" s="244"/>
      <c r="H26" s="244"/>
      <c r="I26" s="244"/>
    </row>
    <row r="27" spans="1:9">
      <c r="A27" s="99" t="str">
        <f>'10.Grain Production details'!A109</f>
        <v>Groundnut</v>
      </c>
      <c r="B27" s="195"/>
      <c r="C27" s="244">
        <f>'10.Grain Production details'!B110</f>
        <v>0</v>
      </c>
      <c r="D27" s="244">
        <f>'10.Grain Production details'!C110</f>
        <v>0</v>
      </c>
      <c r="E27" s="244">
        <f>'10.Grain Production details'!D110</f>
        <v>0</v>
      </c>
      <c r="F27" s="244">
        <f>'10.Grain Production details'!E110</f>
        <v>0</v>
      </c>
      <c r="G27" s="244">
        <f>'10.Grain Production details'!F110</f>
        <v>0</v>
      </c>
      <c r="H27" s="244">
        <f>'10.Grain Production details'!G110</f>
        <v>0</v>
      </c>
      <c r="I27" s="244">
        <f>'10.Grain Production details'!H110</f>
        <v>0</v>
      </c>
    </row>
    <row r="28" spans="1:9">
      <c r="A28" s="99">
        <f>'10.Grain Production details'!A110</f>
        <v>0</v>
      </c>
      <c r="B28" s="195"/>
      <c r="C28" s="244">
        <f>'10.Grain Production details'!B111</f>
        <v>0</v>
      </c>
      <c r="D28" s="244">
        <f>'10.Grain Production details'!C111</f>
        <v>0</v>
      </c>
      <c r="E28" s="244">
        <f>'10.Grain Production details'!D111</f>
        <v>0</v>
      </c>
      <c r="F28" s="244">
        <f>'10.Grain Production details'!E111</f>
        <v>0</v>
      </c>
      <c r="G28" s="244">
        <f>'10.Grain Production details'!F111</f>
        <v>0</v>
      </c>
      <c r="H28" s="244">
        <f>'10.Grain Production details'!G111</f>
        <v>0</v>
      </c>
      <c r="I28" s="244">
        <f>'10.Grain Production details'!H111</f>
        <v>0</v>
      </c>
    </row>
    <row r="29" spans="1:9">
      <c r="A29" s="99">
        <f>'10.Grain Production details'!A111</f>
        <v>0</v>
      </c>
      <c r="B29" s="195"/>
      <c r="C29" s="244">
        <f>'10.Grain Production details'!B112</f>
        <v>0</v>
      </c>
      <c r="D29" s="244">
        <f>'10.Grain Production details'!C112</f>
        <v>0</v>
      </c>
      <c r="E29" s="244">
        <f>'10.Grain Production details'!D112</f>
        <v>0</v>
      </c>
      <c r="F29" s="244">
        <f>'10.Grain Production details'!E112</f>
        <v>0</v>
      </c>
      <c r="G29" s="244">
        <f>'10.Grain Production details'!F112</f>
        <v>0</v>
      </c>
      <c r="H29" s="244">
        <f>'10.Grain Production details'!G112</f>
        <v>0</v>
      </c>
      <c r="I29" s="244">
        <f>'10.Grain Production details'!H112</f>
        <v>0</v>
      </c>
    </row>
    <row r="30" spans="1:9">
      <c r="A30" s="99">
        <f>'10.Grain Production details'!A112</f>
        <v>0</v>
      </c>
      <c r="B30" s="195"/>
      <c r="C30" s="244">
        <f>'10.Grain Production details'!B113</f>
        <v>0</v>
      </c>
      <c r="D30" s="244">
        <f>'10.Grain Production details'!C113</f>
        <v>0</v>
      </c>
      <c r="E30" s="244">
        <f>'10.Grain Production details'!D113</f>
        <v>0</v>
      </c>
      <c r="F30" s="244">
        <f>'10.Grain Production details'!E113</f>
        <v>0</v>
      </c>
      <c r="G30" s="244">
        <f>'10.Grain Production details'!F113</f>
        <v>0</v>
      </c>
      <c r="H30" s="244">
        <f>'10.Grain Production details'!G113</f>
        <v>0</v>
      </c>
      <c r="I30" s="244">
        <f>'10.Grain Production details'!H113</f>
        <v>0</v>
      </c>
    </row>
    <row r="31" spans="1:9">
      <c r="A31" s="99">
        <f>'10.Grain Production details'!A113</f>
        <v>0</v>
      </c>
      <c r="B31" s="195"/>
      <c r="C31" s="244">
        <f>'10.Grain Production details'!C114</f>
        <v>0</v>
      </c>
      <c r="D31" s="244">
        <f>'10.Grain Production details'!D114</f>
        <v>0</v>
      </c>
      <c r="E31" s="244">
        <f>'10.Grain Production details'!E114</f>
        <v>0</v>
      </c>
      <c r="F31" s="244">
        <f>'10.Grain Production details'!F114</f>
        <v>0</v>
      </c>
      <c r="G31" s="244">
        <f>'10.Grain Production details'!G114</f>
        <v>0</v>
      </c>
      <c r="H31" s="244">
        <f>'10.Grain Production details'!H114</f>
        <v>0</v>
      </c>
      <c r="I31" s="244">
        <f>'10.Grain Production details'!I114</f>
        <v>0</v>
      </c>
    </row>
    <row r="32" spans="1:9">
      <c r="A32" s="101" t="str">
        <f>'11.F&amp;V Crop Production details'!A1:H1</f>
        <v>Fruit  &amp; Vegetables Crop Production Details</v>
      </c>
      <c r="B32" s="195"/>
      <c r="C32" s="244"/>
      <c r="D32" s="244"/>
      <c r="E32" s="244"/>
      <c r="F32" s="244"/>
      <c r="G32" s="244"/>
      <c r="H32" s="244"/>
      <c r="I32" s="244"/>
    </row>
    <row r="33" spans="1:9">
      <c r="A33" s="99" t="str">
        <f>'11.F&amp;V Crop Production details'!A102</f>
        <v>Onion</v>
      </c>
      <c r="B33" s="195"/>
      <c r="C33" s="244">
        <f>'11.F&amp;V Crop Production details'!B102</f>
        <v>0</v>
      </c>
      <c r="D33" s="244">
        <f>'11.F&amp;V Crop Production details'!C102</f>
        <v>0</v>
      </c>
      <c r="E33" s="244">
        <f>'11.F&amp;V Crop Production details'!D102</f>
        <v>0</v>
      </c>
      <c r="F33" s="244">
        <f>'11.F&amp;V Crop Production details'!E102</f>
        <v>0</v>
      </c>
      <c r="G33" s="244">
        <f>'11.F&amp;V Crop Production details'!F102</f>
        <v>0</v>
      </c>
      <c r="H33" s="244">
        <f>'11.F&amp;V Crop Production details'!G102</f>
        <v>0</v>
      </c>
      <c r="I33" s="244">
        <f>'11.F&amp;V Crop Production details'!H102</f>
        <v>0</v>
      </c>
    </row>
    <row r="34" spans="1:9">
      <c r="A34" s="99" t="str">
        <f>'11.F&amp;V Crop Production details'!A103</f>
        <v>Tomato</v>
      </c>
      <c r="B34" s="195"/>
      <c r="C34" s="244">
        <f>'11.F&amp;V Crop Production details'!B103</f>
        <v>0</v>
      </c>
      <c r="D34" s="244">
        <f>'11.F&amp;V Crop Production details'!C103</f>
        <v>0</v>
      </c>
      <c r="E34" s="244">
        <f>'11.F&amp;V Crop Production details'!D103</f>
        <v>0</v>
      </c>
      <c r="F34" s="244">
        <f>'11.F&amp;V Crop Production details'!E103</f>
        <v>0</v>
      </c>
      <c r="G34" s="244">
        <f>'11.F&amp;V Crop Production details'!F103</f>
        <v>0</v>
      </c>
      <c r="H34" s="244">
        <f>'11.F&amp;V Crop Production details'!G103</f>
        <v>0</v>
      </c>
      <c r="I34" s="244">
        <f>'11.F&amp;V Crop Production details'!H103</f>
        <v>0</v>
      </c>
    </row>
    <row r="35" spans="1:9">
      <c r="A35" s="99" t="str">
        <f>'11.F&amp;V Crop Production details'!A104</f>
        <v>Okra</v>
      </c>
      <c r="B35" s="195"/>
      <c r="C35" s="244">
        <f>'11.F&amp;V Crop Production details'!B104</f>
        <v>0</v>
      </c>
      <c r="D35" s="244">
        <f>'11.F&amp;V Crop Production details'!C104</f>
        <v>0</v>
      </c>
      <c r="E35" s="244">
        <f>'11.F&amp;V Crop Production details'!D104</f>
        <v>0</v>
      </c>
      <c r="F35" s="244">
        <f>'11.F&amp;V Crop Production details'!E104</f>
        <v>0</v>
      </c>
      <c r="G35" s="244">
        <f>'11.F&amp;V Crop Production details'!F104</f>
        <v>0</v>
      </c>
      <c r="H35" s="244">
        <f>'11.F&amp;V Crop Production details'!G104</f>
        <v>0</v>
      </c>
      <c r="I35" s="244">
        <f>'11.F&amp;V Crop Production details'!H104</f>
        <v>0</v>
      </c>
    </row>
    <row r="36" spans="1:9">
      <c r="A36" s="99" t="str">
        <f>'11.F&amp;V Crop Production details'!A105</f>
        <v>Chilli</v>
      </c>
      <c r="B36" s="195"/>
      <c r="C36" s="244">
        <f>'11.F&amp;V Crop Production details'!B105</f>
        <v>0</v>
      </c>
      <c r="D36" s="244">
        <f>'11.F&amp;V Crop Production details'!C105</f>
        <v>0</v>
      </c>
      <c r="E36" s="244">
        <f>'11.F&amp;V Crop Production details'!D105</f>
        <v>0</v>
      </c>
      <c r="F36" s="244">
        <f>'11.F&amp;V Crop Production details'!E105</f>
        <v>0</v>
      </c>
      <c r="G36" s="244">
        <f>'11.F&amp;V Crop Production details'!F105</f>
        <v>0</v>
      </c>
      <c r="H36" s="244">
        <f>'11.F&amp;V Crop Production details'!G105</f>
        <v>0</v>
      </c>
      <c r="I36" s="244">
        <f>'11.F&amp;V Crop Production details'!H105</f>
        <v>0</v>
      </c>
    </row>
    <row r="37" spans="1:9">
      <c r="A37" s="99" t="str">
        <f>'11.F&amp;V Crop Production details'!A106</f>
        <v>Potato</v>
      </c>
      <c r="B37" s="195"/>
      <c r="C37" s="244">
        <f>'11.F&amp;V Crop Production details'!B106</f>
        <v>0</v>
      </c>
      <c r="D37" s="244">
        <f>'11.F&amp;V Crop Production details'!C106</f>
        <v>0</v>
      </c>
      <c r="E37" s="244">
        <f>'11.F&amp;V Crop Production details'!D106</f>
        <v>0</v>
      </c>
      <c r="F37" s="244">
        <f>'11.F&amp;V Crop Production details'!E106</f>
        <v>0</v>
      </c>
      <c r="G37" s="244">
        <f>'11.F&amp;V Crop Production details'!F106</f>
        <v>0</v>
      </c>
      <c r="H37" s="244">
        <f>'11.F&amp;V Crop Production details'!G106</f>
        <v>0</v>
      </c>
      <c r="I37" s="244">
        <f>'11.F&amp;V Crop Production details'!H106</f>
        <v>0</v>
      </c>
    </row>
    <row r="38" spans="1:9">
      <c r="A38" s="99">
        <f>'11.F&amp;V Crop Production details'!A107</f>
        <v>0</v>
      </c>
      <c r="B38" s="195"/>
      <c r="C38" s="244">
        <f>'11.F&amp;V Crop Production details'!B107</f>
        <v>0</v>
      </c>
      <c r="D38" s="244">
        <f>'11.F&amp;V Crop Production details'!C107</f>
        <v>0</v>
      </c>
      <c r="E38" s="244">
        <f>'11.F&amp;V Crop Production details'!D107</f>
        <v>0</v>
      </c>
      <c r="F38" s="244">
        <f>'11.F&amp;V Crop Production details'!E107</f>
        <v>0</v>
      </c>
      <c r="G38" s="244">
        <f>'11.F&amp;V Crop Production details'!F107</f>
        <v>0</v>
      </c>
      <c r="H38" s="244">
        <f>'11.F&amp;V Crop Production details'!G107</f>
        <v>0</v>
      </c>
      <c r="I38" s="244">
        <f>'11.F&amp;V Crop Production details'!H107</f>
        <v>0</v>
      </c>
    </row>
    <row r="39" spans="1:9">
      <c r="A39" s="99">
        <f>'11.F&amp;V Crop Production details'!A108</f>
        <v>0</v>
      </c>
      <c r="B39" s="195"/>
      <c r="C39" s="244">
        <f>'11.F&amp;V Crop Production details'!B108</f>
        <v>0</v>
      </c>
      <c r="D39" s="244">
        <f>'11.F&amp;V Crop Production details'!C108</f>
        <v>0</v>
      </c>
      <c r="E39" s="244">
        <f>'11.F&amp;V Crop Production details'!D108</f>
        <v>0</v>
      </c>
      <c r="F39" s="244">
        <f>'11.F&amp;V Crop Production details'!E108</f>
        <v>0</v>
      </c>
      <c r="G39" s="244">
        <f>'11.F&amp;V Crop Production details'!F108</f>
        <v>0</v>
      </c>
      <c r="H39" s="244">
        <f>'11.F&amp;V Crop Production details'!G108</f>
        <v>0</v>
      </c>
      <c r="I39" s="244">
        <f>'11.F&amp;V Crop Production details'!H108</f>
        <v>0</v>
      </c>
    </row>
    <row r="40" spans="1:9">
      <c r="A40" s="99">
        <f>'11.F&amp;V Crop Production details'!A109</f>
        <v>0</v>
      </c>
      <c r="B40" s="195"/>
      <c r="C40" s="244">
        <f>'11.F&amp;V Crop Production details'!B109</f>
        <v>0</v>
      </c>
      <c r="D40" s="244">
        <f>'11.F&amp;V Crop Production details'!C109</f>
        <v>0</v>
      </c>
      <c r="E40" s="244">
        <f>'11.F&amp;V Crop Production details'!D109</f>
        <v>0</v>
      </c>
      <c r="F40" s="244">
        <f>'11.F&amp;V Crop Production details'!E109</f>
        <v>0</v>
      </c>
      <c r="G40" s="244">
        <f>'11.F&amp;V Crop Production details'!F109</f>
        <v>0</v>
      </c>
      <c r="H40" s="244">
        <f>'11.F&amp;V Crop Production details'!G109</f>
        <v>0</v>
      </c>
      <c r="I40" s="244">
        <f>'11.F&amp;V Crop Production details'!H109</f>
        <v>0</v>
      </c>
    </row>
    <row r="41" spans="1:9">
      <c r="A41" s="99">
        <f>'11.F&amp;V Crop Production details'!A110</f>
        <v>0</v>
      </c>
      <c r="B41" s="195"/>
      <c r="C41" s="244">
        <f>'11.F&amp;V Crop Production details'!B110</f>
        <v>0</v>
      </c>
      <c r="D41" s="244">
        <f>'11.F&amp;V Crop Production details'!C110</f>
        <v>0</v>
      </c>
      <c r="E41" s="244">
        <f>'11.F&amp;V Crop Production details'!D110</f>
        <v>0</v>
      </c>
      <c r="F41" s="244">
        <f>'11.F&amp;V Crop Production details'!E110</f>
        <v>0</v>
      </c>
      <c r="G41" s="244">
        <f>'11.F&amp;V Crop Production details'!F110</f>
        <v>0</v>
      </c>
      <c r="H41" s="244">
        <f>'11.F&amp;V Crop Production details'!G110</f>
        <v>0</v>
      </c>
      <c r="I41" s="244">
        <f>'11.F&amp;V Crop Production details'!H110</f>
        <v>0</v>
      </c>
    </row>
    <row r="42" spans="1:9">
      <c r="A42" s="99" t="str">
        <f>'11.F&amp;V Crop Production details'!A111</f>
        <v>Onion</v>
      </c>
      <c r="B42" s="195"/>
      <c r="C42" s="244">
        <f>'11.F&amp;V Crop Production details'!B111</f>
        <v>0</v>
      </c>
      <c r="D42" s="244">
        <f>'11.F&amp;V Crop Production details'!C111</f>
        <v>0</v>
      </c>
      <c r="E42" s="244">
        <f>'11.F&amp;V Crop Production details'!D111</f>
        <v>0</v>
      </c>
      <c r="F42" s="244">
        <f>'11.F&amp;V Crop Production details'!E111</f>
        <v>0</v>
      </c>
      <c r="G42" s="244">
        <f>'11.F&amp;V Crop Production details'!F111</f>
        <v>0</v>
      </c>
      <c r="H42" s="244">
        <f>'11.F&amp;V Crop Production details'!G111</f>
        <v>0</v>
      </c>
      <c r="I42" s="244">
        <f>'11.F&amp;V Crop Production details'!H111</f>
        <v>0</v>
      </c>
    </row>
    <row r="43" spans="1:9">
      <c r="A43" s="99" t="str">
        <f>'11.F&amp;V Crop Production details'!A112</f>
        <v>Tomato</v>
      </c>
      <c r="B43" s="195"/>
      <c r="C43" s="244">
        <f>'11.F&amp;V Crop Production details'!B112</f>
        <v>0</v>
      </c>
      <c r="D43" s="244">
        <f>'11.F&amp;V Crop Production details'!C112</f>
        <v>0</v>
      </c>
      <c r="E43" s="244">
        <f>'11.F&amp;V Crop Production details'!D112</f>
        <v>0</v>
      </c>
      <c r="F43" s="244">
        <f>'11.F&amp;V Crop Production details'!E112</f>
        <v>0</v>
      </c>
      <c r="G43" s="244">
        <f>'11.F&amp;V Crop Production details'!F112</f>
        <v>0</v>
      </c>
      <c r="H43" s="244">
        <f>'11.F&amp;V Crop Production details'!G112</f>
        <v>0</v>
      </c>
      <c r="I43" s="244">
        <f>'11.F&amp;V Crop Production details'!H112</f>
        <v>0</v>
      </c>
    </row>
    <row r="44" spans="1:9">
      <c r="A44" s="99" t="str">
        <f>'11.F&amp;V Crop Production details'!A113</f>
        <v>Okra</v>
      </c>
      <c r="B44" s="195"/>
      <c r="C44" s="244">
        <f>'11.F&amp;V Crop Production details'!B113</f>
        <v>0</v>
      </c>
      <c r="D44" s="244">
        <f>'11.F&amp;V Crop Production details'!C113</f>
        <v>0</v>
      </c>
      <c r="E44" s="244">
        <f>'11.F&amp;V Crop Production details'!D113</f>
        <v>0</v>
      </c>
      <c r="F44" s="244">
        <f>'11.F&amp;V Crop Production details'!E113</f>
        <v>0</v>
      </c>
      <c r="G44" s="244">
        <f>'11.F&amp;V Crop Production details'!F113</f>
        <v>0</v>
      </c>
      <c r="H44" s="244">
        <f>'11.F&amp;V Crop Production details'!G113</f>
        <v>0</v>
      </c>
      <c r="I44" s="244">
        <f>'11.F&amp;V Crop Production details'!H113</f>
        <v>0</v>
      </c>
    </row>
    <row r="45" spans="1:9">
      <c r="A45" s="99" t="str">
        <f>'11.F&amp;V Crop Production details'!A114</f>
        <v>Chilli</v>
      </c>
      <c r="B45" s="195"/>
      <c r="C45" s="244">
        <f>'11.F&amp;V Crop Production details'!B114</f>
        <v>0</v>
      </c>
      <c r="D45" s="244">
        <f>'11.F&amp;V Crop Production details'!C114</f>
        <v>0</v>
      </c>
      <c r="E45" s="244">
        <f>'11.F&amp;V Crop Production details'!D114</f>
        <v>0</v>
      </c>
      <c r="F45" s="244">
        <f>'11.F&amp;V Crop Production details'!E114</f>
        <v>0</v>
      </c>
      <c r="G45" s="244">
        <f>'11.F&amp;V Crop Production details'!F114</f>
        <v>0</v>
      </c>
      <c r="H45" s="244">
        <f>'11.F&amp;V Crop Production details'!G114</f>
        <v>0</v>
      </c>
      <c r="I45" s="244">
        <f>'11.F&amp;V Crop Production details'!H114</f>
        <v>0</v>
      </c>
    </row>
    <row r="46" spans="1:9">
      <c r="A46" s="99" t="str">
        <f>'11.F&amp;V Crop Production details'!A115</f>
        <v>Brinjal</v>
      </c>
      <c r="B46" s="195"/>
      <c r="C46" s="244">
        <f>'11.F&amp;V Crop Production details'!B115</f>
        <v>0</v>
      </c>
      <c r="D46" s="244">
        <f>'11.F&amp;V Crop Production details'!C115</f>
        <v>0</v>
      </c>
      <c r="E46" s="244">
        <f>'11.F&amp;V Crop Production details'!D115</f>
        <v>0</v>
      </c>
      <c r="F46" s="244">
        <f>'11.F&amp;V Crop Production details'!E115</f>
        <v>0</v>
      </c>
      <c r="G46" s="244">
        <f>'11.F&amp;V Crop Production details'!F115</f>
        <v>0</v>
      </c>
      <c r="H46" s="244">
        <f>'11.F&amp;V Crop Production details'!G115</f>
        <v>0</v>
      </c>
      <c r="I46" s="244">
        <f>'11.F&amp;V Crop Production details'!H115</f>
        <v>0</v>
      </c>
    </row>
    <row r="47" spans="1:9">
      <c r="A47" s="99">
        <f>'11.F&amp;V Crop Production details'!A116</f>
        <v>0</v>
      </c>
      <c r="B47" s="195"/>
      <c r="C47" s="244">
        <f>'11.F&amp;V Crop Production details'!B116</f>
        <v>0</v>
      </c>
      <c r="D47" s="244">
        <f>'11.F&amp;V Crop Production details'!C116</f>
        <v>0</v>
      </c>
      <c r="E47" s="244">
        <f>'11.F&amp;V Crop Production details'!D116</f>
        <v>0</v>
      </c>
      <c r="F47" s="244">
        <f>'11.F&amp;V Crop Production details'!E116</f>
        <v>0</v>
      </c>
      <c r="G47" s="244">
        <f>'11.F&amp;V Crop Production details'!F116</f>
        <v>0</v>
      </c>
      <c r="H47" s="244">
        <f>'11.F&amp;V Crop Production details'!G116</f>
        <v>0</v>
      </c>
      <c r="I47" s="244">
        <f>'11.F&amp;V Crop Production details'!H116</f>
        <v>0</v>
      </c>
    </row>
    <row r="48" spans="1:9">
      <c r="A48" s="99">
        <f>'11.F&amp;V Crop Production details'!A117</f>
        <v>0</v>
      </c>
      <c r="B48" s="195"/>
      <c r="C48" s="244">
        <f>'11.F&amp;V Crop Production details'!B117</f>
        <v>0</v>
      </c>
      <c r="D48" s="244">
        <f>'11.F&amp;V Crop Production details'!C117</f>
        <v>0</v>
      </c>
      <c r="E48" s="244">
        <f>'11.F&amp;V Crop Production details'!D117</f>
        <v>0</v>
      </c>
      <c r="F48" s="244">
        <f>'11.F&amp;V Crop Production details'!E117</f>
        <v>0</v>
      </c>
      <c r="G48" s="244">
        <f>'11.F&amp;V Crop Production details'!F117</f>
        <v>0</v>
      </c>
      <c r="H48" s="244">
        <f>'11.F&amp;V Crop Production details'!G117</f>
        <v>0</v>
      </c>
      <c r="I48" s="244">
        <f>'11.F&amp;V Crop Production details'!H117</f>
        <v>0</v>
      </c>
    </row>
    <row r="49" spans="1:9">
      <c r="A49" s="99">
        <f>'11.F&amp;V Crop Production details'!A118</f>
        <v>0</v>
      </c>
      <c r="B49" s="195"/>
      <c r="C49" s="244">
        <f>'11.F&amp;V Crop Production details'!B118</f>
        <v>0</v>
      </c>
      <c r="D49" s="244">
        <f>'11.F&amp;V Crop Production details'!C118</f>
        <v>0</v>
      </c>
      <c r="E49" s="244">
        <f>'11.F&amp;V Crop Production details'!D118</f>
        <v>0</v>
      </c>
      <c r="F49" s="244">
        <f>'11.F&amp;V Crop Production details'!E118</f>
        <v>0</v>
      </c>
      <c r="G49" s="244">
        <f>'11.F&amp;V Crop Production details'!F118</f>
        <v>0</v>
      </c>
      <c r="H49" s="244">
        <f>'11.F&amp;V Crop Production details'!G118</f>
        <v>0</v>
      </c>
      <c r="I49" s="244">
        <f>'11.F&amp;V Crop Production details'!H118</f>
        <v>0</v>
      </c>
    </row>
    <row r="50" spans="1:9">
      <c r="A50" s="99">
        <f>'11.F&amp;V Crop Production details'!A119</f>
        <v>0</v>
      </c>
      <c r="B50" s="195"/>
      <c r="C50" s="244">
        <f>'11.F&amp;V Crop Production details'!B119</f>
        <v>0</v>
      </c>
      <c r="D50" s="244">
        <f>'11.F&amp;V Crop Production details'!C119</f>
        <v>0</v>
      </c>
      <c r="E50" s="244">
        <f>'11.F&amp;V Crop Production details'!D119</f>
        <v>0</v>
      </c>
      <c r="F50" s="244">
        <f>'11.F&amp;V Crop Production details'!E119</f>
        <v>0</v>
      </c>
      <c r="G50" s="244">
        <f>'11.F&amp;V Crop Production details'!F119</f>
        <v>0</v>
      </c>
      <c r="H50" s="244">
        <f>'11.F&amp;V Crop Production details'!G119</f>
        <v>0</v>
      </c>
      <c r="I50" s="244">
        <f>'11.F&amp;V Crop Production details'!H119</f>
        <v>0</v>
      </c>
    </row>
    <row r="51" spans="1:9">
      <c r="A51" s="99">
        <f>'11.F&amp;V Crop Production details'!A120</f>
        <v>0</v>
      </c>
      <c r="B51" s="195"/>
      <c r="C51" s="244">
        <f>'11.F&amp;V Crop Production details'!B120</f>
        <v>0</v>
      </c>
      <c r="D51" s="244">
        <f>'11.F&amp;V Crop Production details'!C120</f>
        <v>0</v>
      </c>
      <c r="E51" s="244">
        <f>'11.F&amp;V Crop Production details'!D120</f>
        <v>0</v>
      </c>
      <c r="F51" s="244">
        <f>'11.F&amp;V Crop Production details'!E120</f>
        <v>0</v>
      </c>
      <c r="G51" s="244">
        <f>'11.F&amp;V Crop Production details'!F120</f>
        <v>0</v>
      </c>
      <c r="H51" s="244">
        <f>'11.F&amp;V Crop Production details'!G120</f>
        <v>0</v>
      </c>
      <c r="I51" s="244">
        <f>'11.F&amp;V Crop Production details'!H120</f>
        <v>0</v>
      </c>
    </row>
    <row r="52" spans="1:9">
      <c r="A52" s="99">
        <f>'11.F&amp;V Crop Production details'!A121</f>
        <v>0</v>
      </c>
      <c r="B52" s="195"/>
      <c r="C52" s="244">
        <f>'11.F&amp;V Crop Production details'!B121</f>
        <v>0</v>
      </c>
      <c r="D52" s="244">
        <f>'11.F&amp;V Crop Production details'!C121</f>
        <v>0</v>
      </c>
      <c r="E52" s="244">
        <f>'11.F&amp;V Crop Production details'!D121</f>
        <v>0</v>
      </c>
      <c r="F52" s="244">
        <f>'11.F&amp;V Crop Production details'!E121</f>
        <v>0</v>
      </c>
      <c r="G52" s="244">
        <f>'11.F&amp;V Crop Production details'!F121</f>
        <v>0</v>
      </c>
      <c r="H52" s="244">
        <f>'11.F&amp;V Crop Production details'!G121</f>
        <v>0</v>
      </c>
      <c r="I52" s="244">
        <f>'11.F&amp;V Crop Production details'!H121</f>
        <v>0</v>
      </c>
    </row>
    <row r="53" spans="1:9">
      <c r="A53" s="99">
        <f>'11.F&amp;V Crop Production details'!A122</f>
        <v>0</v>
      </c>
      <c r="B53" s="195"/>
      <c r="C53" s="244">
        <f>'11.F&amp;V Crop Production details'!B122</f>
        <v>0</v>
      </c>
      <c r="D53" s="244">
        <f>'11.F&amp;V Crop Production details'!C122</f>
        <v>0</v>
      </c>
      <c r="E53" s="244">
        <f>'11.F&amp;V Crop Production details'!D122</f>
        <v>0</v>
      </c>
      <c r="F53" s="244">
        <f>'11.F&amp;V Crop Production details'!E122</f>
        <v>0</v>
      </c>
      <c r="G53" s="244">
        <f>'11.F&amp;V Crop Production details'!F122</f>
        <v>0</v>
      </c>
      <c r="H53" s="244">
        <f>'11.F&amp;V Crop Production details'!G122</f>
        <v>0</v>
      </c>
      <c r="I53" s="244">
        <f>'11.F&amp;V Crop Production details'!H122</f>
        <v>0</v>
      </c>
    </row>
    <row r="54" spans="1:9">
      <c r="A54" s="99" t="str">
        <f>'11.F&amp;V Crop Production details'!A123</f>
        <v>Pomegranate</v>
      </c>
      <c r="B54" s="195"/>
      <c r="C54" s="244">
        <f>'11.F&amp;V Crop Production details'!B123</f>
        <v>0</v>
      </c>
      <c r="D54" s="244">
        <f>'11.F&amp;V Crop Production details'!C123</f>
        <v>0</v>
      </c>
      <c r="E54" s="244">
        <f>'11.F&amp;V Crop Production details'!D123</f>
        <v>0</v>
      </c>
      <c r="F54" s="244">
        <f>'11.F&amp;V Crop Production details'!E123</f>
        <v>0</v>
      </c>
      <c r="G54" s="244">
        <f>'11.F&amp;V Crop Production details'!F123</f>
        <v>0</v>
      </c>
      <c r="H54" s="244">
        <f>'11.F&amp;V Crop Production details'!G123</f>
        <v>0</v>
      </c>
      <c r="I54" s="244">
        <f>'11.F&amp;V Crop Production details'!H123</f>
        <v>0</v>
      </c>
    </row>
    <row r="55" spans="1:9">
      <c r="A55" s="99" t="str">
        <f>'11.F&amp;V Crop Production details'!A124</f>
        <v>Custard Apple</v>
      </c>
      <c r="B55" s="195"/>
      <c r="C55" s="244">
        <f>'11.F&amp;V Crop Production details'!B124</f>
        <v>0</v>
      </c>
      <c r="D55" s="244">
        <f>'11.F&amp;V Crop Production details'!C124</f>
        <v>0</v>
      </c>
      <c r="E55" s="244">
        <f>'11.F&amp;V Crop Production details'!D124</f>
        <v>0</v>
      </c>
      <c r="F55" s="244">
        <f>'11.F&amp;V Crop Production details'!E124</f>
        <v>0</v>
      </c>
      <c r="G55" s="244">
        <f>'11.F&amp;V Crop Production details'!F124</f>
        <v>0</v>
      </c>
      <c r="H55" s="244">
        <f>'11.F&amp;V Crop Production details'!G124</f>
        <v>0</v>
      </c>
      <c r="I55" s="244">
        <f>'11.F&amp;V Crop Production details'!H124</f>
        <v>0</v>
      </c>
    </row>
    <row r="56" spans="1:9">
      <c r="A56" s="99" t="str">
        <f>'11.F&amp;V Crop Production details'!A125</f>
        <v>Guava</v>
      </c>
      <c r="B56" s="195"/>
      <c r="C56" s="244">
        <f>'11.F&amp;V Crop Production details'!B125</f>
        <v>0</v>
      </c>
      <c r="D56" s="244">
        <f>'11.F&amp;V Crop Production details'!C125</f>
        <v>0</v>
      </c>
      <c r="E56" s="244">
        <f>'11.F&amp;V Crop Production details'!D125</f>
        <v>0</v>
      </c>
      <c r="F56" s="244">
        <f>'11.F&amp;V Crop Production details'!E125</f>
        <v>0</v>
      </c>
      <c r="G56" s="244">
        <f>'11.F&amp;V Crop Production details'!F125</f>
        <v>0</v>
      </c>
      <c r="H56" s="244">
        <f>'11.F&amp;V Crop Production details'!G125</f>
        <v>0</v>
      </c>
      <c r="I56" s="244">
        <f>'11.F&amp;V Crop Production details'!H125</f>
        <v>0</v>
      </c>
    </row>
    <row r="57" spans="1:9">
      <c r="A57" s="99" t="str">
        <f>'11.F&amp;V Crop Production details'!A126</f>
        <v>Citrus</v>
      </c>
      <c r="B57" s="195"/>
      <c r="C57" s="244">
        <f>'11.F&amp;V Crop Production details'!B126</f>
        <v>0</v>
      </c>
      <c r="D57" s="244">
        <f>'11.F&amp;V Crop Production details'!C126</f>
        <v>0</v>
      </c>
      <c r="E57" s="244">
        <f>'11.F&amp;V Crop Production details'!D126</f>
        <v>0</v>
      </c>
      <c r="F57" s="244">
        <f>'11.F&amp;V Crop Production details'!E126</f>
        <v>0</v>
      </c>
      <c r="G57" s="244">
        <f>'11.F&amp;V Crop Production details'!F126</f>
        <v>0</v>
      </c>
      <c r="H57" s="244">
        <f>'11.F&amp;V Crop Production details'!G126</f>
        <v>0</v>
      </c>
      <c r="I57" s="244">
        <f>'11.F&amp;V Crop Production details'!H126</f>
        <v>0</v>
      </c>
    </row>
    <row r="58" spans="1:9">
      <c r="A58" s="99"/>
      <c r="B58" s="195"/>
      <c r="C58" s="195"/>
      <c r="D58" s="195"/>
      <c r="E58" s="195"/>
      <c r="F58" s="195"/>
      <c r="G58" s="195"/>
      <c r="H58" s="195"/>
      <c r="I58" s="19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23">
        <v>30</v>
      </c>
      <c r="C62" s="196">
        <f>$B62*C9</f>
        <v>24710.400000000001</v>
      </c>
      <c r="D62" s="196">
        <f>$B62*D9</f>
        <v>26611.200000000001</v>
      </c>
      <c r="E62" s="196">
        <f t="shared" ref="E62:I62" si="1">$B62*E9</f>
        <v>28512.000000000007</v>
      </c>
      <c r="F62" s="196">
        <f t="shared" si="1"/>
        <v>30412.800000000007</v>
      </c>
      <c r="G62" s="196">
        <f t="shared" si="1"/>
        <v>32313.600000000009</v>
      </c>
      <c r="H62" s="196">
        <f t="shared" si="1"/>
        <v>34214.400000000009</v>
      </c>
      <c r="I62" s="196">
        <f t="shared" si="1"/>
        <v>36115.200000000004</v>
      </c>
    </row>
    <row r="63" spans="1:9">
      <c r="A63" s="99" t="str">
        <f t="shared" si="0"/>
        <v>Red Gram/Tur</v>
      </c>
      <c r="B63" s="223">
        <v>5</v>
      </c>
      <c r="C63" s="196">
        <f>$B63*C10</f>
        <v>0</v>
      </c>
      <c r="D63" s="196">
        <f t="shared" ref="D63:I63" si="2">$B$63*D10</f>
        <v>0</v>
      </c>
      <c r="E63" s="196">
        <f t="shared" si="2"/>
        <v>0</v>
      </c>
      <c r="F63" s="196">
        <f t="shared" si="2"/>
        <v>0</v>
      </c>
      <c r="G63" s="196">
        <f t="shared" si="2"/>
        <v>0</v>
      </c>
      <c r="H63" s="196">
        <f t="shared" si="2"/>
        <v>0</v>
      </c>
      <c r="I63" s="196">
        <f t="shared" si="2"/>
        <v>0</v>
      </c>
    </row>
    <row r="64" spans="1:9">
      <c r="A64" s="99" t="str">
        <f t="shared" si="0"/>
        <v>Paddy/Rice</v>
      </c>
      <c r="B64" s="223">
        <v>15</v>
      </c>
      <c r="C64" s="196">
        <f>$B64*C11</f>
        <v>0</v>
      </c>
      <c r="D64" s="196">
        <f t="shared" ref="D64:I64" si="3">$B$64*D11</f>
        <v>0</v>
      </c>
      <c r="E64" s="196">
        <f t="shared" si="3"/>
        <v>0</v>
      </c>
      <c r="F64" s="196">
        <f t="shared" si="3"/>
        <v>0</v>
      </c>
      <c r="G64" s="196">
        <f t="shared" si="3"/>
        <v>0</v>
      </c>
      <c r="H64" s="196">
        <f t="shared" si="3"/>
        <v>0</v>
      </c>
      <c r="I64" s="196">
        <f t="shared" si="3"/>
        <v>0</v>
      </c>
    </row>
    <row r="65" spans="1:9">
      <c r="A65" s="99" t="str">
        <f t="shared" si="0"/>
        <v>Green Gram/ Moong</v>
      </c>
      <c r="B65" s="223">
        <v>15</v>
      </c>
      <c r="C65" s="196">
        <f>$B65*C12</f>
        <v>0</v>
      </c>
      <c r="D65" s="196">
        <f t="shared" ref="D65:I67" si="4">$B65*D12</f>
        <v>0</v>
      </c>
      <c r="E65" s="196">
        <f t="shared" si="4"/>
        <v>0</v>
      </c>
      <c r="F65" s="196">
        <f t="shared" si="4"/>
        <v>0</v>
      </c>
      <c r="G65" s="196">
        <f t="shared" si="4"/>
        <v>0</v>
      </c>
      <c r="H65" s="196">
        <f t="shared" si="4"/>
        <v>0</v>
      </c>
      <c r="I65" s="196">
        <f t="shared" si="4"/>
        <v>0</v>
      </c>
    </row>
    <row r="66" spans="1:9">
      <c r="A66" s="99" t="str">
        <f t="shared" si="0"/>
        <v>Maize</v>
      </c>
      <c r="B66" s="223">
        <v>25</v>
      </c>
      <c r="C66" s="196">
        <f>$B66*C13</f>
        <v>0</v>
      </c>
      <c r="D66" s="196">
        <f t="shared" si="4"/>
        <v>0</v>
      </c>
      <c r="E66" s="196">
        <f t="shared" si="4"/>
        <v>0</v>
      </c>
      <c r="F66" s="196">
        <f t="shared" si="4"/>
        <v>0</v>
      </c>
      <c r="G66" s="196">
        <f t="shared" si="4"/>
        <v>0</v>
      </c>
      <c r="H66" s="196">
        <f t="shared" si="4"/>
        <v>0</v>
      </c>
      <c r="I66" s="196">
        <f t="shared" si="4"/>
        <v>0</v>
      </c>
    </row>
    <row r="67" spans="1:9">
      <c r="A67" s="99" t="str">
        <f t="shared" si="0"/>
        <v>Black Gram/Udid</v>
      </c>
      <c r="B67" s="223">
        <v>15</v>
      </c>
      <c r="C67" s="196">
        <f>$B67*C14</f>
        <v>0</v>
      </c>
      <c r="D67" s="196">
        <f t="shared" si="4"/>
        <v>0</v>
      </c>
      <c r="E67" s="196">
        <f t="shared" si="4"/>
        <v>0</v>
      </c>
      <c r="F67" s="196">
        <f t="shared" si="4"/>
        <v>0</v>
      </c>
      <c r="G67" s="196">
        <f t="shared" si="4"/>
        <v>0</v>
      </c>
      <c r="H67" s="196">
        <f t="shared" si="4"/>
        <v>0</v>
      </c>
      <c r="I67" s="196">
        <f t="shared" si="4"/>
        <v>0</v>
      </c>
    </row>
    <row r="68" spans="1:9">
      <c r="A68" s="99" t="str">
        <f t="shared" si="0"/>
        <v>Bajra</v>
      </c>
      <c r="B68" s="223">
        <v>5</v>
      </c>
      <c r="C68" s="196">
        <f t="shared" ref="C68:I68" si="5">$B68*C15</f>
        <v>0</v>
      </c>
      <c r="D68" s="196">
        <f t="shared" si="5"/>
        <v>0</v>
      </c>
      <c r="E68" s="196">
        <f t="shared" si="5"/>
        <v>0</v>
      </c>
      <c r="F68" s="196">
        <f t="shared" si="5"/>
        <v>0</v>
      </c>
      <c r="G68" s="196">
        <f t="shared" si="5"/>
        <v>0</v>
      </c>
      <c r="H68" s="196">
        <f t="shared" si="5"/>
        <v>0</v>
      </c>
      <c r="I68" s="196">
        <f t="shared" si="5"/>
        <v>0</v>
      </c>
    </row>
    <row r="69" spans="1:9">
      <c r="A69" s="99" t="str">
        <f t="shared" si="0"/>
        <v>Jawar</v>
      </c>
      <c r="B69" s="223">
        <v>5</v>
      </c>
      <c r="C69" s="196">
        <f t="shared" ref="C69:I69" si="6">$B69*C16</f>
        <v>0</v>
      </c>
      <c r="D69" s="196">
        <f t="shared" si="6"/>
        <v>0</v>
      </c>
      <c r="E69" s="196">
        <f t="shared" si="6"/>
        <v>0</v>
      </c>
      <c r="F69" s="196">
        <f t="shared" si="6"/>
        <v>0</v>
      </c>
      <c r="G69" s="196">
        <f t="shared" si="6"/>
        <v>0</v>
      </c>
      <c r="H69" s="196">
        <f t="shared" si="6"/>
        <v>0</v>
      </c>
      <c r="I69" s="196">
        <f t="shared" si="6"/>
        <v>0</v>
      </c>
    </row>
    <row r="70" spans="1:9">
      <c r="A70" s="101" t="str">
        <f t="shared" si="0"/>
        <v>Rabi Crop</v>
      </c>
      <c r="B70" s="223"/>
      <c r="C70" s="196"/>
      <c r="D70" s="196"/>
      <c r="E70" s="196"/>
      <c r="F70" s="196"/>
      <c r="G70" s="196"/>
      <c r="H70" s="196"/>
      <c r="I70" s="196"/>
    </row>
    <row r="71" spans="1:9">
      <c r="A71" s="99" t="str">
        <f t="shared" si="0"/>
        <v>Wheat</v>
      </c>
      <c r="B71" s="223">
        <v>20</v>
      </c>
      <c r="C71" s="196">
        <f t="shared" ref="C71:I71" si="7">$B71*C18</f>
        <v>0</v>
      </c>
      <c r="D71" s="196">
        <f t="shared" si="7"/>
        <v>0</v>
      </c>
      <c r="E71" s="196">
        <f t="shared" si="7"/>
        <v>0</v>
      </c>
      <c r="F71" s="196">
        <f t="shared" si="7"/>
        <v>0</v>
      </c>
      <c r="G71" s="196">
        <f t="shared" si="7"/>
        <v>0</v>
      </c>
      <c r="H71" s="196">
        <f t="shared" si="7"/>
        <v>0</v>
      </c>
      <c r="I71" s="196">
        <f t="shared" si="7"/>
        <v>0</v>
      </c>
    </row>
    <row r="72" spans="1:9">
      <c r="A72" s="99" t="str">
        <f t="shared" si="0"/>
        <v>Bengal Gram/Channa</v>
      </c>
      <c r="B72" s="223">
        <v>25</v>
      </c>
      <c r="C72" s="196">
        <f t="shared" ref="C72:I72" si="8">$B72*C19</f>
        <v>4576.0000000000009</v>
      </c>
      <c r="D72" s="196">
        <f t="shared" si="8"/>
        <v>4928.0000000000009</v>
      </c>
      <c r="E72" s="196">
        <f t="shared" si="8"/>
        <v>5280.0000000000009</v>
      </c>
      <c r="F72" s="196">
        <f t="shared" si="8"/>
        <v>5632.0000000000018</v>
      </c>
      <c r="G72" s="196">
        <f t="shared" si="8"/>
        <v>5984.0000000000018</v>
      </c>
      <c r="H72" s="196">
        <f t="shared" si="8"/>
        <v>6336.0000000000018</v>
      </c>
      <c r="I72" s="196">
        <f t="shared" si="8"/>
        <v>6688.0000000000027</v>
      </c>
    </row>
    <row r="73" spans="1:9">
      <c r="A73" s="99" t="str">
        <f t="shared" si="0"/>
        <v>Jawar</v>
      </c>
      <c r="B73" s="223">
        <v>5</v>
      </c>
      <c r="C73" s="196">
        <f t="shared" ref="C73:I73" si="9">$B73*C20</f>
        <v>0</v>
      </c>
      <c r="D73" s="196">
        <f t="shared" si="9"/>
        <v>0</v>
      </c>
      <c r="E73" s="196">
        <f t="shared" si="9"/>
        <v>0</v>
      </c>
      <c r="F73" s="196">
        <f t="shared" si="9"/>
        <v>0</v>
      </c>
      <c r="G73" s="196">
        <f t="shared" si="9"/>
        <v>0</v>
      </c>
      <c r="H73" s="196">
        <f t="shared" si="9"/>
        <v>0</v>
      </c>
      <c r="I73" s="196">
        <f t="shared" si="9"/>
        <v>0</v>
      </c>
    </row>
    <row r="74" spans="1:9">
      <c r="A74" s="99" t="str">
        <f t="shared" si="0"/>
        <v>Maize</v>
      </c>
      <c r="B74" s="223">
        <v>20</v>
      </c>
      <c r="C74" s="196">
        <f t="shared" ref="C74:I74" si="10">$B74*C21</f>
        <v>0</v>
      </c>
      <c r="D74" s="196">
        <f t="shared" si="10"/>
        <v>0</v>
      </c>
      <c r="E74" s="196">
        <f t="shared" si="10"/>
        <v>0</v>
      </c>
      <c r="F74" s="196">
        <f t="shared" si="10"/>
        <v>0</v>
      </c>
      <c r="G74" s="196">
        <f t="shared" si="10"/>
        <v>0</v>
      </c>
      <c r="H74" s="196">
        <f t="shared" si="10"/>
        <v>0</v>
      </c>
      <c r="I74" s="196">
        <f t="shared" si="10"/>
        <v>0</v>
      </c>
    </row>
    <row r="75" spans="1:9">
      <c r="A75" s="99" t="str">
        <f t="shared" si="0"/>
        <v>Safflower</v>
      </c>
      <c r="B75" s="223"/>
      <c r="C75" s="196">
        <f t="shared" ref="C75:I75" si="11">$B75*C22</f>
        <v>0</v>
      </c>
      <c r="D75" s="196">
        <f t="shared" si="11"/>
        <v>0</v>
      </c>
      <c r="E75" s="196">
        <f t="shared" si="11"/>
        <v>0</v>
      </c>
      <c r="F75" s="196">
        <f t="shared" si="11"/>
        <v>0</v>
      </c>
      <c r="G75" s="196">
        <f t="shared" si="11"/>
        <v>0</v>
      </c>
      <c r="H75" s="196">
        <f t="shared" si="11"/>
        <v>0</v>
      </c>
      <c r="I75" s="196">
        <f t="shared" si="11"/>
        <v>0</v>
      </c>
    </row>
    <row r="76" spans="1:9">
      <c r="A76" s="99">
        <f t="shared" si="0"/>
        <v>0</v>
      </c>
      <c r="B76" s="223"/>
      <c r="C76" s="196">
        <f t="shared" ref="C76:I76" si="12">$B76*C23</f>
        <v>0</v>
      </c>
      <c r="D76" s="196">
        <f t="shared" si="12"/>
        <v>0</v>
      </c>
      <c r="E76" s="196">
        <f t="shared" si="12"/>
        <v>0</v>
      </c>
      <c r="F76" s="196">
        <f t="shared" si="12"/>
        <v>0</v>
      </c>
      <c r="G76" s="196">
        <f t="shared" si="12"/>
        <v>0</v>
      </c>
      <c r="H76" s="196">
        <f t="shared" si="12"/>
        <v>0</v>
      </c>
      <c r="I76" s="196">
        <f t="shared" si="12"/>
        <v>0</v>
      </c>
    </row>
    <row r="77" spans="1:9">
      <c r="A77" s="99">
        <f t="shared" si="0"/>
        <v>0</v>
      </c>
      <c r="B77" s="223"/>
      <c r="C77" s="196">
        <f t="shared" ref="C77:I77" si="13">$B77*C24</f>
        <v>0</v>
      </c>
      <c r="D77" s="196">
        <f t="shared" si="13"/>
        <v>0</v>
      </c>
      <c r="E77" s="196">
        <f t="shared" si="13"/>
        <v>0</v>
      </c>
      <c r="F77" s="196">
        <f t="shared" si="13"/>
        <v>0</v>
      </c>
      <c r="G77" s="196">
        <f t="shared" si="13"/>
        <v>0</v>
      </c>
      <c r="H77" s="196">
        <f t="shared" si="13"/>
        <v>0</v>
      </c>
      <c r="I77" s="196">
        <f t="shared" si="13"/>
        <v>0</v>
      </c>
    </row>
    <row r="78" spans="1:9">
      <c r="A78" s="99">
        <f t="shared" si="0"/>
        <v>0</v>
      </c>
      <c r="B78" s="223"/>
      <c r="C78" s="196">
        <f t="shared" ref="C78:I78" si="14">$B78*C25</f>
        <v>0</v>
      </c>
      <c r="D78" s="196">
        <f t="shared" si="14"/>
        <v>0</v>
      </c>
      <c r="E78" s="196">
        <f t="shared" si="14"/>
        <v>0</v>
      </c>
      <c r="F78" s="196">
        <f t="shared" si="14"/>
        <v>0</v>
      </c>
      <c r="G78" s="196">
        <f t="shared" si="14"/>
        <v>0</v>
      </c>
      <c r="H78" s="196">
        <f t="shared" si="14"/>
        <v>0</v>
      </c>
      <c r="I78" s="196">
        <f t="shared" si="14"/>
        <v>0</v>
      </c>
    </row>
    <row r="79" spans="1:9">
      <c r="A79" s="101" t="str">
        <f t="shared" si="0"/>
        <v>Summer</v>
      </c>
      <c r="B79" s="223"/>
      <c r="C79" s="196"/>
      <c r="D79" s="196"/>
      <c r="E79" s="196"/>
      <c r="F79" s="196"/>
      <c r="G79" s="196"/>
      <c r="H79" s="196"/>
      <c r="I79" s="196"/>
    </row>
    <row r="80" spans="1:9">
      <c r="A80" s="99" t="str">
        <f t="shared" si="0"/>
        <v>Groundnut</v>
      </c>
      <c r="B80" s="223"/>
      <c r="C80" s="196">
        <f t="shared" ref="C80:I80" si="15">$B80*C27</f>
        <v>0</v>
      </c>
      <c r="D80" s="196">
        <f t="shared" si="15"/>
        <v>0</v>
      </c>
      <c r="E80" s="196">
        <f t="shared" si="15"/>
        <v>0</v>
      </c>
      <c r="F80" s="196">
        <f t="shared" si="15"/>
        <v>0</v>
      </c>
      <c r="G80" s="196">
        <f t="shared" si="15"/>
        <v>0</v>
      </c>
      <c r="H80" s="196">
        <f t="shared" si="15"/>
        <v>0</v>
      </c>
      <c r="I80" s="196">
        <f t="shared" si="15"/>
        <v>0</v>
      </c>
    </row>
    <row r="81" spans="1:9">
      <c r="A81" s="99">
        <f t="shared" si="0"/>
        <v>0</v>
      </c>
      <c r="B81" s="223"/>
      <c r="C81" s="196">
        <f t="shared" ref="C81:I81" si="16">$B81*C28</f>
        <v>0</v>
      </c>
      <c r="D81" s="196">
        <f t="shared" si="16"/>
        <v>0</v>
      </c>
      <c r="E81" s="196">
        <f t="shared" si="16"/>
        <v>0</v>
      </c>
      <c r="F81" s="196">
        <f t="shared" si="16"/>
        <v>0</v>
      </c>
      <c r="G81" s="196">
        <f t="shared" si="16"/>
        <v>0</v>
      </c>
      <c r="H81" s="196">
        <f t="shared" si="16"/>
        <v>0</v>
      </c>
      <c r="I81" s="196">
        <f t="shared" si="16"/>
        <v>0</v>
      </c>
    </row>
    <row r="82" spans="1:9">
      <c r="A82" s="99">
        <f t="shared" si="0"/>
        <v>0</v>
      </c>
      <c r="B82" s="223"/>
      <c r="C82" s="196">
        <f t="shared" ref="C82:I82" si="17">$B82*C29</f>
        <v>0</v>
      </c>
      <c r="D82" s="196">
        <f t="shared" si="17"/>
        <v>0</v>
      </c>
      <c r="E82" s="196">
        <f t="shared" si="17"/>
        <v>0</v>
      </c>
      <c r="F82" s="196">
        <f t="shared" si="17"/>
        <v>0</v>
      </c>
      <c r="G82" s="196">
        <f t="shared" si="17"/>
        <v>0</v>
      </c>
      <c r="H82" s="196">
        <f t="shared" si="17"/>
        <v>0</v>
      </c>
      <c r="I82" s="196">
        <f t="shared" si="17"/>
        <v>0</v>
      </c>
    </row>
    <row r="83" spans="1:9">
      <c r="A83" s="99">
        <f t="shared" si="0"/>
        <v>0</v>
      </c>
      <c r="B83" s="223"/>
      <c r="C83" s="196">
        <f t="shared" ref="C83:I83" si="18">$B83*C30</f>
        <v>0</v>
      </c>
      <c r="D83" s="196">
        <f t="shared" si="18"/>
        <v>0</v>
      </c>
      <c r="E83" s="196">
        <f t="shared" si="18"/>
        <v>0</v>
      </c>
      <c r="F83" s="196">
        <f t="shared" si="18"/>
        <v>0</v>
      </c>
      <c r="G83" s="196">
        <f t="shared" si="18"/>
        <v>0</v>
      </c>
      <c r="H83" s="196">
        <f t="shared" si="18"/>
        <v>0</v>
      </c>
      <c r="I83" s="196">
        <f t="shared" si="18"/>
        <v>0</v>
      </c>
    </row>
    <row r="84" spans="1:9">
      <c r="A84" s="99">
        <f t="shared" si="0"/>
        <v>0</v>
      </c>
      <c r="B84" s="223"/>
      <c r="C84" s="196">
        <f t="shared" ref="C84:I84" si="19">$B84*C31</f>
        <v>0</v>
      </c>
      <c r="D84" s="196">
        <f t="shared" si="19"/>
        <v>0</v>
      </c>
      <c r="E84" s="196">
        <f t="shared" si="19"/>
        <v>0</v>
      </c>
      <c r="F84" s="196">
        <f t="shared" si="19"/>
        <v>0</v>
      </c>
      <c r="G84" s="196">
        <f t="shared" si="19"/>
        <v>0</v>
      </c>
      <c r="H84" s="196">
        <f t="shared" si="19"/>
        <v>0</v>
      </c>
      <c r="I84" s="196">
        <f t="shared" si="19"/>
        <v>0</v>
      </c>
    </row>
    <row r="85" spans="1:9">
      <c r="A85" s="101" t="str">
        <f t="shared" si="0"/>
        <v>Fruit  &amp; Vegetables Crop Production Details</v>
      </c>
      <c r="B85" s="223"/>
      <c r="C85" s="196"/>
      <c r="D85" s="196"/>
      <c r="E85" s="196"/>
      <c r="F85" s="196"/>
      <c r="G85" s="196"/>
      <c r="H85" s="196"/>
      <c r="I85" s="196"/>
    </row>
    <row r="86" spans="1:9">
      <c r="A86" s="99" t="str">
        <f t="shared" si="0"/>
        <v>Onion</v>
      </c>
      <c r="B86" s="223"/>
      <c r="C86" s="196">
        <f t="shared" ref="C86:I86" si="20">$B86*C33</f>
        <v>0</v>
      </c>
      <c r="D86" s="196">
        <f t="shared" si="20"/>
        <v>0</v>
      </c>
      <c r="E86" s="196">
        <f t="shared" si="20"/>
        <v>0</v>
      </c>
      <c r="F86" s="196">
        <f t="shared" si="20"/>
        <v>0</v>
      </c>
      <c r="G86" s="196">
        <f t="shared" si="20"/>
        <v>0</v>
      </c>
      <c r="H86" s="196">
        <f t="shared" si="20"/>
        <v>0</v>
      </c>
      <c r="I86" s="196">
        <f t="shared" si="20"/>
        <v>0</v>
      </c>
    </row>
    <row r="87" spans="1:9">
      <c r="A87" s="99" t="str">
        <f t="shared" si="0"/>
        <v>Tomato</v>
      </c>
      <c r="B87" s="223"/>
      <c r="C87" s="196">
        <f t="shared" ref="C87:I87" si="21">$B87*C34</f>
        <v>0</v>
      </c>
      <c r="D87" s="196">
        <f t="shared" si="21"/>
        <v>0</v>
      </c>
      <c r="E87" s="196">
        <f t="shared" si="21"/>
        <v>0</v>
      </c>
      <c r="F87" s="196">
        <f t="shared" si="21"/>
        <v>0</v>
      </c>
      <c r="G87" s="196">
        <f t="shared" si="21"/>
        <v>0</v>
      </c>
      <c r="H87" s="196">
        <f t="shared" si="21"/>
        <v>0</v>
      </c>
      <c r="I87" s="196">
        <f t="shared" si="21"/>
        <v>0</v>
      </c>
    </row>
    <row r="88" spans="1:9">
      <c r="A88" s="99" t="str">
        <f t="shared" si="0"/>
        <v>Okra</v>
      </c>
      <c r="B88" s="223"/>
      <c r="C88" s="196">
        <f t="shared" ref="C88:I88" si="22">$B88*C35</f>
        <v>0</v>
      </c>
      <c r="D88" s="196">
        <f t="shared" si="22"/>
        <v>0</v>
      </c>
      <c r="E88" s="196">
        <f t="shared" si="22"/>
        <v>0</v>
      </c>
      <c r="F88" s="196">
        <f t="shared" si="22"/>
        <v>0</v>
      </c>
      <c r="G88" s="196">
        <f t="shared" si="22"/>
        <v>0</v>
      </c>
      <c r="H88" s="196">
        <f t="shared" si="22"/>
        <v>0</v>
      </c>
      <c r="I88" s="196">
        <f t="shared" si="22"/>
        <v>0</v>
      </c>
    </row>
    <row r="89" spans="1:9">
      <c r="A89" s="99" t="str">
        <f t="shared" si="0"/>
        <v>Chilli</v>
      </c>
      <c r="B89" s="223"/>
      <c r="C89" s="196">
        <f t="shared" ref="C89:I89" si="23">$B89*C36</f>
        <v>0</v>
      </c>
      <c r="D89" s="196">
        <f t="shared" si="23"/>
        <v>0</v>
      </c>
      <c r="E89" s="196">
        <f t="shared" si="23"/>
        <v>0</v>
      </c>
      <c r="F89" s="196">
        <f t="shared" si="23"/>
        <v>0</v>
      </c>
      <c r="G89" s="196">
        <f t="shared" si="23"/>
        <v>0</v>
      </c>
      <c r="H89" s="196">
        <f t="shared" si="23"/>
        <v>0</v>
      </c>
      <c r="I89" s="196">
        <f t="shared" si="23"/>
        <v>0</v>
      </c>
    </row>
    <row r="90" spans="1:9">
      <c r="A90" s="99" t="str">
        <f t="shared" si="0"/>
        <v>Potato</v>
      </c>
      <c r="B90" s="223"/>
      <c r="C90" s="196">
        <f t="shared" ref="C90:I90" si="24">$B90*C37</f>
        <v>0</v>
      </c>
      <c r="D90" s="196">
        <f t="shared" si="24"/>
        <v>0</v>
      </c>
      <c r="E90" s="196">
        <f t="shared" si="24"/>
        <v>0</v>
      </c>
      <c r="F90" s="196">
        <f t="shared" si="24"/>
        <v>0</v>
      </c>
      <c r="G90" s="196">
        <f t="shared" si="24"/>
        <v>0</v>
      </c>
      <c r="H90" s="196">
        <f t="shared" si="24"/>
        <v>0</v>
      </c>
      <c r="I90" s="196">
        <f t="shared" si="24"/>
        <v>0</v>
      </c>
    </row>
    <row r="91" spans="1:9">
      <c r="A91" s="99">
        <f t="shared" si="0"/>
        <v>0</v>
      </c>
      <c r="B91" s="223"/>
      <c r="C91" s="196">
        <f t="shared" ref="C91:I91" si="25">$B91*C38</f>
        <v>0</v>
      </c>
      <c r="D91" s="196">
        <f t="shared" si="25"/>
        <v>0</v>
      </c>
      <c r="E91" s="196">
        <f t="shared" si="25"/>
        <v>0</v>
      </c>
      <c r="F91" s="196">
        <f t="shared" si="25"/>
        <v>0</v>
      </c>
      <c r="G91" s="196">
        <f t="shared" si="25"/>
        <v>0</v>
      </c>
      <c r="H91" s="196">
        <f t="shared" si="25"/>
        <v>0</v>
      </c>
      <c r="I91" s="196">
        <f t="shared" si="25"/>
        <v>0</v>
      </c>
    </row>
    <row r="92" spans="1:9">
      <c r="A92" s="99">
        <f t="shared" si="0"/>
        <v>0</v>
      </c>
      <c r="B92" s="223"/>
      <c r="C92" s="196">
        <f t="shared" ref="C92:I92" si="26">$B92*C39</f>
        <v>0</v>
      </c>
      <c r="D92" s="196">
        <f t="shared" si="26"/>
        <v>0</v>
      </c>
      <c r="E92" s="196">
        <f t="shared" si="26"/>
        <v>0</v>
      </c>
      <c r="F92" s="196">
        <f t="shared" si="26"/>
        <v>0</v>
      </c>
      <c r="G92" s="196">
        <f t="shared" si="26"/>
        <v>0</v>
      </c>
      <c r="H92" s="196">
        <f t="shared" si="26"/>
        <v>0</v>
      </c>
      <c r="I92" s="196">
        <f t="shared" si="26"/>
        <v>0</v>
      </c>
    </row>
    <row r="93" spans="1:9">
      <c r="A93" s="99">
        <f t="shared" ref="A93:A110" si="27">A40</f>
        <v>0</v>
      </c>
      <c r="B93" s="223"/>
      <c r="C93" s="196">
        <f t="shared" ref="C93:I93" si="28">$B93*C40</f>
        <v>0</v>
      </c>
      <c r="D93" s="196">
        <f t="shared" si="28"/>
        <v>0</v>
      </c>
      <c r="E93" s="196">
        <f t="shared" si="28"/>
        <v>0</v>
      </c>
      <c r="F93" s="196">
        <f t="shared" si="28"/>
        <v>0</v>
      </c>
      <c r="G93" s="196">
        <f t="shared" si="28"/>
        <v>0</v>
      </c>
      <c r="H93" s="196">
        <f t="shared" si="28"/>
        <v>0</v>
      </c>
      <c r="I93" s="196">
        <f t="shared" si="28"/>
        <v>0</v>
      </c>
    </row>
    <row r="94" spans="1:9">
      <c r="A94" s="99">
        <f t="shared" si="27"/>
        <v>0</v>
      </c>
      <c r="B94" s="223"/>
      <c r="C94" s="196">
        <f t="shared" ref="C94:I94" si="29">$B94*C41</f>
        <v>0</v>
      </c>
      <c r="D94" s="196">
        <f t="shared" si="29"/>
        <v>0</v>
      </c>
      <c r="E94" s="196">
        <f t="shared" si="29"/>
        <v>0</v>
      </c>
      <c r="F94" s="196">
        <f t="shared" si="29"/>
        <v>0</v>
      </c>
      <c r="G94" s="196">
        <f t="shared" si="29"/>
        <v>0</v>
      </c>
      <c r="H94" s="196">
        <f t="shared" si="29"/>
        <v>0</v>
      </c>
      <c r="I94" s="196">
        <f t="shared" si="29"/>
        <v>0</v>
      </c>
    </row>
    <row r="95" spans="1:9">
      <c r="A95" s="99" t="str">
        <f t="shared" si="27"/>
        <v>Onion</v>
      </c>
      <c r="B95" s="223"/>
      <c r="C95" s="196">
        <f t="shared" ref="C95:I95" si="30">$B95*C42</f>
        <v>0</v>
      </c>
      <c r="D95" s="196">
        <f t="shared" si="30"/>
        <v>0</v>
      </c>
      <c r="E95" s="196">
        <f t="shared" si="30"/>
        <v>0</v>
      </c>
      <c r="F95" s="196">
        <f t="shared" si="30"/>
        <v>0</v>
      </c>
      <c r="G95" s="196">
        <f t="shared" si="30"/>
        <v>0</v>
      </c>
      <c r="H95" s="196">
        <f t="shared" si="30"/>
        <v>0</v>
      </c>
      <c r="I95" s="196">
        <f t="shared" si="30"/>
        <v>0</v>
      </c>
    </row>
    <row r="96" spans="1:9">
      <c r="A96" s="99" t="str">
        <f t="shared" si="27"/>
        <v>Tomato</v>
      </c>
      <c r="B96" s="223"/>
      <c r="C96" s="196">
        <f t="shared" ref="C96:I96" si="31">$B96*C43</f>
        <v>0</v>
      </c>
      <c r="D96" s="196">
        <f t="shared" si="31"/>
        <v>0</v>
      </c>
      <c r="E96" s="196">
        <f t="shared" si="31"/>
        <v>0</v>
      </c>
      <c r="F96" s="196">
        <f t="shared" si="31"/>
        <v>0</v>
      </c>
      <c r="G96" s="196">
        <f t="shared" si="31"/>
        <v>0</v>
      </c>
      <c r="H96" s="196">
        <f t="shared" si="31"/>
        <v>0</v>
      </c>
      <c r="I96" s="196">
        <f t="shared" si="31"/>
        <v>0</v>
      </c>
    </row>
    <row r="97" spans="1:9">
      <c r="A97" s="99" t="str">
        <f t="shared" si="27"/>
        <v>Okra</v>
      </c>
      <c r="B97" s="223"/>
      <c r="C97" s="196">
        <f t="shared" ref="C97:I97" si="32">$B97*C44</f>
        <v>0</v>
      </c>
      <c r="D97" s="196">
        <f t="shared" si="32"/>
        <v>0</v>
      </c>
      <c r="E97" s="196">
        <f t="shared" si="32"/>
        <v>0</v>
      </c>
      <c r="F97" s="196">
        <f t="shared" si="32"/>
        <v>0</v>
      </c>
      <c r="G97" s="196">
        <f t="shared" si="32"/>
        <v>0</v>
      </c>
      <c r="H97" s="196">
        <f t="shared" si="32"/>
        <v>0</v>
      </c>
      <c r="I97" s="196">
        <f t="shared" si="32"/>
        <v>0</v>
      </c>
    </row>
    <row r="98" spans="1:9">
      <c r="A98" s="99" t="str">
        <f t="shared" si="27"/>
        <v>Chilli</v>
      </c>
      <c r="B98" s="223"/>
      <c r="C98" s="196">
        <f t="shared" ref="C98:I98" si="33">$B98*C45</f>
        <v>0</v>
      </c>
      <c r="D98" s="196">
        <f t="shared" si="33"/>
        <v>0</v>
      </c>
      <c r="E98" s="196">
        <f t="shared" si="33"/>
        <v>0</v>
      </c>
      <c r="F98" s="196">
        <f t="shared" si="33"/>
        <v>0</v>
      </c>
      <c r="G98" s="196">
        <f t="shared" si="33"/>
        <v>0</v>
      </c>
      <c r="H98" s="196">
        <f t="shared" si="33"/>
        <v>0</v>
      </c>
      <c r="I98" s="196">
        <f t="shared" si="33"/>
        <v>0</v>
      </c>
    </row>
    <row r="99" spans="1:9">
      <c r="A99" s="99" t="str">
        <f t="shared" si="27"/>
        <v>Brinjal</v>
      </c>
      <c r="B99" s="223"/>
      <c r="C99" s="196">
        <f t="shared" ref="C99:I99" si="34">$B99*C46</f>
        <v>0</v>
      </c>
      <c r="D99" s="196">
        <f t="shared" si="34"/>
        <v>0</v>
      </c>
      <c r="E99" s="196">
        <f t="shared" si="34"/>
        <v>0</v>
      </c>
      <c r="F99" s="196">
        <f t="shared" si="34"/>
        <v>0</v>
      </c>
      <c r="G99" s="196">
        <f t="shared" si="34"/>
        <v>0</v>
      </c>
      <c r="H99" s="196">
        <f t="shared" si="34"/>
        <v>0</v>
      </c>
      <c r="I99" s="196">
        <f t="shared" si="34"/>
        <v>0</v>
      </c>
    </row>
    <row r="100" spans="1:9">
      <c r="A100" s="99">
        <f t="shared" si="27"/>
        <v>0</v>
      </c>
      <c r="B100" s="223"/>
      <c r="C100" s="196">
        <f t="shared" ref="C100:I100" si="35">$B100*C47</f>
        <v>0</v>
      </c>
      <c r="D100" s="196">
        <f t="shared" si="35"/>
        <v>0</v>
      </c>
      <c r="E100" s="196">
        <f t="shared" si="35"/>
        <v>0</v>
      </c>
      <c r="F100" s="196">
        <f t="shared" si="35"/>
        <v>0</v>
      </c>
      <c r="G100" s="196">
        <f t="shared" si="35"/>
        <v>0</v>
      </c>
      <c r="H100" s="196">
        <f t="shared" si="35"/>
        <v>0</v>
      </c>
      <c r="I100" s="196">
        <f t="shared" si="35"/>
        <v>0</v>
      </c>
    </row>
    <row r="101" spans="1:9">
      <c r="A101" s="99">
        <f t="shared" si="27"/>
        <v>0</v>
      </c>
      <c r="B101" s="223"/>
      <c r="C101" s="196">
        <f t="shared" ref="C101:I101" si="36">$B101*C48</f>
        <v>0</v>
      </c>
      <c r="D101" s="196">
        <f t="shared" si="36"/>
        <v>0</v>
      </c>
      <c r="E101" s="196">
        <f t="shared" si="36"/>
        <v>0</v>
      </c>
      <c r="F101" s="196">
        <f t="shared" si="36"/>
        <v>0</v>
      </c>
      <c r="G101" s="196">
        <f t="shared" si="36"/>
        <v>0</v>
      </c>
      <c r="H101" s="196">
        <f t="shared" si="36"/>
        <v>0</v>
      </c>
      <c r="I101" s="196">
        <f t="shared" si="36"/>
        <v>0</v>
      </c>
    </row>
    <row r="102" spans="1:9">
      <c r="A102" s="99">
        <f t="shared" si="27"/>
        <v>0</v>
      </c>
      <c r="B102" s="223"/>
      <c r="C102" s="196">
        <f t="shared" ref="C102:I102" si="37">$B102*C49</f>
        <v>0</v>
      </c>
      <c r="D102" s="196">
        <f t="shared" si="37"/>
        <v>0</v>
      </c>
      <c r="E102" s="196">
        <f t="shared" si="37"/>
        <v>0</v>
      </c>
      <c r="F102" s="196">
        <f t="shared" si="37"/>
        <v>0</v>
      </c>
      <c r="G102" s="196">
        <f t="shared" si="37"/>
        <v>0</v>
      </c>
      <c r="H102" s="196">
        <f t="shared" si="37"/>
        <v>0</v>
      </c>
      <c r="I102" s="196">
        <f t="shared" si="37"/>
        <v>0</v>
      </c>
    </row>
    <row r="103" spans="1:9">
      <c r="A103" s="99">
        <f t="shared" si="27"/>
        <v>0</v>
      </c>
      <c r="B103" s="223"/>
      <c r="C103" s="196">
        <f t="shared" ref="C103:I103" si="38">$B103*C50</f>
        <v>0</v>
      </c>
      <c r="D103" s="196">
        <f t="shared" si="38"/>
        <v>0</v>
      </c>
      <c r="E103" s="196">
        <f t="shared" si="38"/>
        <v>0</v>
      </c>
      <c r="F103" s="196">
        <f t="shared" si="38"/>
        <v>0</v>
      </c>
      <c r="G103" s="196">
        <f t="shared" si="38"/>
        <v>0</v>
      </c>
      <c r="H103" s="196">
        <f t="shared" si="38"/>
        <v>0</v>
      </c>
      <c r="I103" s="196">
        <f t="shared" si="38"/>
        <v>0</v>
      </c>
    </row>
    <row r="104" spans="1:9">
      <c r="A104" s="99">
        <f t="shared" si="27"/>
        <v>0</v>
      </c>
      <c r="B104" s="223"/>
      <c r="C104" s="196">
        <f t="shared" ref="C104:I104" si="39">$B104*C51</f>
        <v>0</v>
      </c>
      <c r="D104" s="196">
        <f t="shared" si="39"/>
        <v>0</v>
      </c>
      <c r="E104" s="196">
        <f t="shared" si="39"/>
        <v>0</v>
      </c>
      <c r="F104" s="196">
        <f t="shared" si="39"/>
        <v>0</v>
      </c>
      <c r="G104" s="196">
        <f t="shared" si="39"/>
        <v>0</v>
      </c>
      <c r="H104" s="196">
        <f t="shared" si="39"/>
        <v>0</v>
      </c>
      <c r="I104" s="196">
        <f t="shared" si="39"/>
        <v>0</v>
      </c>
    </row>
    <row r="105" spans="1:9">
      <c r="A105" s="99">
        <f t="shared" si="27"/>
        <v>0</v>
      </c>
      <c r="B105" s="223"/>
      <c r="C105" s="196">
        <f t="shared" ref="C105:I105" si="40">$B105*C52</f>
        <v>0</v>
      </c>
      <c r="D105" s="196">
        <f t="shared" si="40"/>
        <v>0</v>
      </c>
      <c r="E105" s="196">
        <f t="shared" si="40"/>
        <v>0</v>
      </c>
      <c r="F105" s="196">
        <f t="shared" si="40"/>
        <v>0</v>
      </c>
      <c r="G105" s="196">
        <f t="shared" si="40"/>
        <v>0</v>
      </c>
      <c r="H105" s="196">
        <f t="shared" si="40"/>
        <v>0</v>
      </c>
      <c r="I105" s="196">
        <f t="shared" si="40"/>
        <v>0</v>
      </c>
    </row>
    <row r="106" spans="1:9">
      <c r="A106" s="99">
        <f t="shared" si="27"/>
        <v>0</v>
      </c>
      <c r="B106" s="223"/>
      <c r="C106" s="196">
        <f t="shared" ref="C106:I106" si="41">$B106*C53</f>
        <v>0</v>
      </c>
      <c r="D106" s="196">
        <f t="shared" si="41"/>
        <v>0</v>
      </c>
      <c r="E106" s="196">
        <f t="shared" si="41"/>
        <v>0</v>
      </c>
      <c r="F106" s="196">
        <f t="shared" si="41"/>
        <v>0</v>
      </c>
      <c r="G106" s="196">
        <f t="shared" si="41"/>
        <v>0</v>
      </c>
      <c r="H106" s="196">
        <f t="shared" si="41"/>
        <v>0</v>
      </c>
      <c r="I106" s="196">
        <f t="shared" si="41"/>
        <v>0</v>
      </c>
    </row>
    <row r="107" spans="1:9">
      <c r="A107" s="99" t="str">
        <f t="shared" si="27"/>
        <v>Pomegranate</v>
      </c>
      <c r="B107" s="223"/>
      <c r="C107" s="196">
        <f t="shared" ref="C107:I107" si="42">$B107*C54</f>
        <v>0</v>
      </c>
      <c r="D107" s="196">
        <f t="shared" si="42"/>
        <v>0</v>
      </c>
      <c r="E107" s="196">
        <f t="shared" si="42"/>
        <v>0</v>
      </c>
      <c r="F107" s="196">
        <f t="shared" si="42"/>
        <v>0</v>
      </c>
      <c r="G107" s="196">
        <f t="shared" si="42"/>
        <v>0</v>
      </c>
      <c r="H107" s="196">
        <f t="shared" si="42"/>
        <v>0</v>
      </c>
      <c r="I107" s="196">
        <f t="shared" si="42"/>
        <v>0</v>
      </c>
    </row>
    <row r="108" spans="1:9">
      <c r="A108" s="99" t="str">
        <f t="shared" si="27"/>
        <v>Custard Apple</v>
      </c>
      <c r="B108" s="223"/>
      <c r="C108" s="196">
        <f t="shared" ref="C108:I108" si="43">$B108*C55</f>
        <v>0</v>
      </c>
      <c r="D108" s="196">
        <f t="shared" si="43"/>
        <v>0</v>
      </c>
      <c r="E108" s="196">
        <f t="shared" si="43"/>
        <v>0</v>
      </c>
      <c r="F108" s="196">
        <f t="shared" si="43"/>
        <v>0</v>
      </c>
      <c r="G108" s="196">
        <f t="shared" si="43"/>
        <v>0</v>
      </c>
      <c r="H108" s="196">
        <f t="shared" si="43"/>
        <v>0</v>
      </c>
      <c r="I108" s="196">
        <f t="shared" si="43"/>
        <v>0</v>
      </c>
    </row>
    <row r="109" spans="1:9">
      <c r="A109" s="99" t="str">
        <f t="shared" si="27"/>
        <v>Guava</v>
      </c>
      <c r="B109" s="223"/>
      <c r="C109" s="196">
        <f t="shared" ref="C109:I109" si="44">$B109*C56</f>
        <v>0</v>
      </c>
      <c r="D109" s="196">
        <f t="shared" si="44"/>
        <v>0</v>
      </c>
      <c r="E109" s="196">
        <f t="shared" si="44"/>
        <v>0</v>
      </c>
      <c r="F109" s="196">
        <f t="shared" si="44"/>
        <v>0</v>
      </c>
      <c r="G109" s="196">
        <f t="shared" si="44"/>
        <v>0</v>
      </c>
      <c r="H109" s="196">
        <f t="shared" si="44"/>
        <v>0</v>
      </c>
      <c r="I109" s="196">
        <f t="shared" si="44"/>
        <v>0</v>
      </c>
    </row>
    <row r="110" spans="1:9">
      <c r="A110" s="99" t="str">
        <f t="shared" si="27"/>
        <v>Citrus</v>
      </c>
      <c r="B110" s="223"/>
      <c r="C110" s="196">
        <f t="shared" ref="C110:I110" si="45">$B110*C57</f>
        <v>0</v>
      </c>
      <c r="D110" s="196">
        <f t="shared" si="45"/>
        <v>0</v>
      </c>
      <c r="E110" s="196">
        <f t="shared" si="45"/>
        <v>0</v>
      </c>
      <c r="F110" s="196">
        <f t="shared" si="45"/>
        <v>0</v>
      </c>
      <c r="G110" s="196">
        <f t="shared" si="45"/>
        <v>0</v>
      </c>
      <c r="H110" s="196">
        <f t="shared" si="45"/>
        <v>0</v>
      </c>
      <c r="I110" s="196">
        <f t="shared" si="45"/>
        <v>0</v>
      </c>
    </row>
    <row r="111" spans="1:9">
      <c r="A111" s="99"/>
      <c r="B111" s="223"/>
      <c r="C111" s="196"/>
      <c r="D111" s="196"/>
      <c r="E111" s="196"/>
      <c r="F111" s="196"/>
      <c r="G111" s="196"/>
      <c r="H111" s="196"/>
      <c r="I111" s="196"/>
    </row>
    <row r="112" spans="1:9">
      <c r="A112" s="99"/>
      <c r="B112" s="223"/>
      <c r="C112" s="196"/>
      <c r="D112" s="196"/>
      <c r="E112" s="196"/>
      <c r="F112" s="196"/>
      <c r="G112" s="196"/>
      <c r="H112" s="196"/>
      <c r="I112" s="196"/>
    </row>
    <row r="113" spans="1:23">
      <c r="A113" s="101" t="s">
        <v>187</v>
      </c>
      <c r="B113" s="99"/>
      <c r="C113" s="99"/>
      <c r="D113" s="99"/>
      <c r="E113" s="99"/>
      <c r="F113" s="99"/>
      <c r="G113" s="99"/>
      <c r="H113" s="99"/>
      <c r="I113" s="99"/>
    </row>
    <row r="114" spans="1:23">
      <c r="A114" s="99" t="s">
        <v>417</v>
      </c>
      <c r="B114" s="223">
        <v>100</v>
      </c>
      <c r="C114" s="196">
        <f>SUM(C62:C110)*$B$114</f>
        <v>2928640</v>
      </c>
      <c r="D114" s="196">
        <f t="shared" ref="D114:I114" si="46">SUM(D62:D110)*$B$114</f>
        <v>3153920</v>
      </c>
      <c r="E114" s="196">
        <f t="shared" si="46"/>
        <v>3379200.0000000009</v>
      </c>
      <c r="F114" s="196">
        <f t="shared" si="46"/>
        <v>3604480.0000000009</v>
      </c>
      <c r="G114" s="196">
        <f t="shared" si="46"/>
        <v>3829760.0000000014</v>
      </c>
      <c r="H114" s="196">
        <f t="shared" si="46"/>
        <v>4055040.0000000009</v>
      </c>
      <c r="I114" s="196">
        <f t="shared" si="46"/>
        <v>4280320</v>
      </c>
    </row>
    <row r="115" spans="1:23">
      <c r="A115" s="99" t="s">
        <v>181</v>
      </c>
      <c r="B115" s="223">
        <v>30</v>
      </c>
      <c r="C115" s="196">
        <f>SUM(C62:C110)*$B$115</f>
        <v>878592</v>
      </c>
      <c r="D115" s="196">
        <f t="shared" ref="D115:I115" si="47">SUM(D62:D110)*$B$115</f>
        <v>946176</v>
      </c>
      <c r="E115" s="196">
        <f t="shared" si="47"/>
        <v>1013760.0000000002</v>
      </c>
      <c r="F115" s="196">
        <f t="shared" si="47"/>
        <v>1081344.0000000002</v>
      </c>
      <c r="G115" s="196">
        <f t="shared" si="47"/>
        <v>1148928.0000000005</v>
      </c>
      <c r="H115" s="196">
        <f t="shared" si="47"/>
        <v>1216512.0000000002</v>
      </c>
      <c r="I115" s="196">
        <f t="shared" si="47"/>
        <v>1284096.0000000002</v>
      </c>
    </row>
    <row r="116" spans="1:23">
      <c r="A116" s="99" t="s">
        <v>183</v>
      </c>
      <c r="B116" s="223">
        <v>30</v>
      </c>
      <c r="C116" s="196">
        <f>SUM(C62:C110)*$B$116</f>
        <v>878592</v>
      </c>
      <c r="D116" s="196">
        <f t="shared" ref="D116:I116" si="48">SUM(D62:D110)*$B$116</f>
        <v>946176</v>
      </c>
      <c r="E116" s="196">
        <f t="shared" si="48"/>
        <v>1013760.0000000002</v>
      </c>
      <c r="F116" s="196">
        <f t="shared" si="48"/>
        <v>1081344.0000000002</v>
      </c>
      <c r="G116" s="196">
        <f t="shared" si="48"/>
        <v>1148928.0000000005</v>
      </c>
      <c r="H116" s="196">
        <f t="shared" si="48"/>
        <v>1216512.0000000002</v>
      </c>
      <c r="I116" s="196">
        <f t="shared" si="48"/>
        <v>1284096.0000000002</v>
      </c>
    </row>
    <row r="117" spans="1:23">
      <c r="A117" s="101" t="s">
        <v>182</v>
      </c>
      <c r="B117" s="223"/>
      <c r="C117" s="99"/>
      <c r="D117" s="99"/>
      <c r="E117" s="99"/>
      <c r="F117" s="99"/>
      <c r="G117" s="99"/>
      <c r="H117" s="99"/>
      <c r="I117" s="99"/>
    </row>
    <row r="118" spans="1:23">
      <c r="A118" s="99" t="s">
        <v>188</v>
      </c>
      <c r="B118" s="223">
        <v>0.2</v>
      </c>
      <c r="C118" s="196">
        <f>SUM(C62:C110)*$B$118</f>
        <v>5857.2800000000007</v>
      </c>
      <c r="D118" s="196">
        <f t="shared" ref="D118:I118" si="49">SUM(D62:D110)*$B$118</f>
        <v>6307.84</v>
      </c>
      <c r="E118" s="196">
        <f t="shared" si="49"/>
        <v>6758.4000000000015</v>
      </c>
      <c r="F118" s="196">
        <f t="shared" si="49"/>
        <v>7208.9600000000028</v>
      </c>
      <c r="G118" s="196">
        <f t="shared" si="49"/>
        <v>7659.5200000000032</v>
      </c>
      <c r="H118" s="196">
        <f t="shared" si="49"/>
        <v>8110.0800000000017</v>
      </c>
      <c r="I118" s="196">
        <f t="shared" si="49"/>
        <v>8560.6400000000012</v>
      </c>
    </row>
    <row r="119" spans="1:23">
      <c r="A119" s="99" t="s">
        <v>189</v>
      </c>
      <c r="B119" s="223">
        <v>0.5</v>
      </c>
      <c r="C119" s="196">
        <f>SUM(C62:C110)*$B$119</f>
        <v>14643.2</v>
      </c>
      <c r="D119" s="196">
        <f t="shared" ref="D119:I119" si="50">SUM(D62:D110)*$B$119</f>
        <v>15769.6</v>
      </c>
      <c r="E119" s="196">
        <f t="shared" si="50"/>
        <v>16896.000000000004</v>
      </c>
      <c r="F119" s="196">
        <f t="shared" si="50"/>
        <v>18022.400000000005</v>
      </c>
      <c r="G119" s="196">
        <f t="shared" si="50"/>
        <v>19148.800000000007</v>
      </c>
      <c r="H119" s="196">
        <f t="shared" si="50"/>
        <v>20275.200000000004</v>
      </c>
      <c r="I119" s="196">
        <f t="shared" si="50"/>
        <v>21401.600000000002</v>
      </c>
    </row>
    <row r="122" spans="1:23" ht="18.75">
      <c r="A122" s="438" t="s">
        <v>615</v>
      </c>
      <c r="B122" s="438"/>
      <c r="C122" s="438"/>
      <c r="D122" s="438"/>
      <c r="E122" s="438"/>
      <c r="F122" s="438"/>
      <c r="G122" s="438"/>
      <c r="H122" s="438"/>
      <c r="I122" s="438"/>
      <c r="J122" s="438"/>
    </row>
    <row r="123" spans="1:23">
      <c r="A123" s="31"/>
      <c r="B123" s="62"/>
      <c r="C123" s="31"/>
      <c r="D123" s="31"/>
      <c r="E123" s="31"/>
      <c r="F123" s="31"/>
      <c r="G123" s="31"/>
      <c r="H123" s="31"/>
    </row>
    <row r="124" spans="1:23">
      <c r="A124" s="182"/>
      <c r="B124" s="182"/>
      <c r="C124" s="182"/>
      <c r="D124" s="183">
        <v>1</v>
      </c>
      <c r="E124" s="184">
        <f>(D124*5%)+D124</f>
        <v>1.05</v>
      </c>
      <c r="F124" s="184">
        <f t="shared" ref="F124:J124" si="51">(E124*5%)+E124</f>
        <v>1.1025</v>
      </c>
      <c r="G124" s="184">
        <f t="shared" si="51"/>
        <v>1.1576250000000001</v>
      </c>
      <c r="H124" s="184">
        <f t="shared" si="51"/>
        <v>1.2155062500000002</v>
      </c>
      <c r="I124" s="184">
        <f t="shared" si="51"/>
        <v>1.2762815625000004</v>
      </c>
      <c r="J124" s="18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289</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23">
        <v>82</v>
      </c>
      <c r="D130" s="96">
        <f>(C62*(1-'5.Closing Stock &amp; W Capital'!$D$15))*$C$130*D$124</f>
        <v>1924940.1600000001</v>
      </c>
      <c r="E130" s="96">
        <f>(D62*(1-'5.Closing Stock &amp; W Capital'!$D$15))*$C$130*E$124</f>
        <v>2176663.1040000003</v>
      </c>
      <c r="F130" s="96">
        <f>(E62*(1-'5.Closing Stock &amp; W Capital'!$D$15))*$C$130*F$124</f>
        <v>2448745.9920000006</v>
      </c>
      <c r="G130" s="96">
        <f>(F62*(1-'5.Closing Stock &amp; W Capital'!$D$15))*$C$130*G$124</f>
        <v>2742595.5110400002</v>
      </c>
      <c r="H130" s="96">
        <f>(G62*(1-'5.Closing Stock &amp; W Capital'!$D$15))*$C$130*H$124</f>
        <v>3059708.1170040015</v>
      </c>
      <c r="I130" s="96">
        <f>(H62*(1-'5.Closing Stock &amp; W Capital'!$D$15))*$C$130*I$124</f>
        <v>3401675.4947868017</v>
      </c>
      <c r="J130" s="96">
        <f>(I62*(1-'5.Closing Stock &amp; W Capital'!$D$15))*$C$130*J$124</f>
        <v>3770190.3400553712</v>
      </c>
      <c r="K130" s="94"/>
      <c r="U130" s="94"/>
      <c r="V130" s="94"/>
      <c r="W130" s="94"/>
    </row>
    <row r="131" spans="1:23">
      <c r="A131" s="95" t="str">
        <f t="shared" si="52"/>
        <v>Red Gram/Tur</v>
      </c>
      <c r="B131" s="95"/>
      <c r="C131" s="243">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69"/>
      <c r="V131" s="94"/>
      <c r="W131" s="94"/>
    </row>
    <row r="132" spans="1:23">
      <c r="A132" s="95" t="str">
        <f t="shared" si="52"/>
        <v>Paddy/Rice</v>
      </c>
      <c r="B132" s="95"/>
      <c r="C132" s="243">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43">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43">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43">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43">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43">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43"/>
      <c r="D138" s="96"/>
      <c r="E138" s="96"/>
      <c r="F138" s="96"/>
      <c r="G138" s="96"/>
      <c r="H138" s="96"/>
      <c r="I138" s="96"/>
      <c r="J138" s="96"/>
      <c r="K138" s="94"/>
      <c r="U138" s="94"/>
      <c r="V138" s="94"/>
      <c r="W138" s="94"/>
    </row>
    <row r="139" spans="1:23">
      <c r="A139" s="95" t="str">
        <f t="shared" si="52"/>
        <v>Wheat</v>
      </c>
      <c r="B139" s="95"/>
      <c r="C139" s="243">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43">
        <v>75</v>
      </c>
      <c r="D140" s="96">
        <f>(C72*(1-'5.Closing Stock &amp; W Capital'!$D$15))*$C$140*D$124</f>
        <v>326040.00000000006</v>
      </c>
      <c r="E140" s="96">
        <f>((D72*(1-'5.Closing Stock &amp; W Capital'!$D$15))+(C72*'5.Closing Stock &amp; W Capital'!$D$15))*$C$140*E$124</f>
        <v>386694.00000000006</v>
      </c>
      <c r="F140" s="96">
        <f>((E72*(1-'5.Closing Stock &amp; W Capital'!$D$15))+(D72*'5.Closing Stock &amp; W Capital'!$D$15))*$C$140*F$124</f>
        <v>435134.70000000007</v>
      </c>
      <c r="G140" s="96">
        <f>((F72*(1-'5.Closing Stock &amp; W Capital'!$D$15))+(E72*'5.Closing Stock &amp; W Capital'!$D$15))*$C$140*G$124</f>
        <v>487452.73500000016</v>
      </c>
      <c r="H140" s="96">
        <f>((G72*(1-'5.Closing Stock &amp; W Capital'!$D$15))+(F72*'5.Closing Stock &amp; W Capital'!$D$15))*$C$140*H$124</f>
        <v>543914.73675000027</v>
      </c>
      <c r="I140" s="96">
        <f>((H72*(1-'5.Closing Stock &amp; W Capital'!$D$15))+(G72*'5.Closing Stock &amp; W Capital'!$D$15))*$C$140*I$124</f>
        <v>604804.30683750031</v>
      </c>
      <c r="J140" s="96">
        <f>((I72*(1-'5.Closing Stock &amp; W Capital'!$D$15))+(H72*'5.Closing Stock &amp; W Capital'!$D$15))*$C$140*J$124</f>
        <v>670423.04709187546</v>
      </c>
      <c r="K140" s="94"/>
      <c r="U140" s="94"/>
      <c r="V140" s="94"/>
      <c r="W140" s="94"/>
    </row>
    <row r="141" spans="1:23">
      <c r="A141" s="95" t="str">
        <f t="shared" si="52"/>
        <v>Jawar</v>
      </c>
      <c r="B141" s="95"/>
      <c r="C141" s="243">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43">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43"/>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43"/>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43"/>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43"/>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43"/>
      <c r="D147" s="96"/>
      <c r="E147" s="96"/>
      <c r="F147" s="96"/>
      <c r="G147" s="96"/>
      <c r="H147" s="96"/>
      <c r="I147" s="96"/>
      <c r="J147" s="96"/>
      <c r="K147" s="94"/>
      <c r="U147" s="94"/>
      <c r="V147" s="94"/>
      <c r="W147" s="94"/>
    </row>
    <row r="148" spans="1:23">
      <c r="A148" s="95" t="str">
        <f t="shared" si="52"/>
        <v>Groundnut</v>
      </c>
      <c r="B148" s="95"/>
      <c r="C148" s="243"/>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43"/>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43"/>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43"/>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43"/>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43"/>
      <c r="D153" s="96"/>
      <c r="E153" s="96"/>
      <c r="F153" s="96"/>
      <c r="G153" s="96"/>
      <c r="H153" s="96"/>
      <c r="I153" s="96"/>
      <c r="J153" s="96"/>
      <c r="K153" s="94"/>
      <c r="U153" s="94"/>
      <c r="V153" s="94"/>
      <c r="W153" s="94"/>
    </row>
    <row r="154" spans="1:23">
      <c r="A154" s="95" t="str">
        <f t="shared" si="52"/>
        <v>Onion</v>
      </c>
      <c r="B154" s="95"/>
      <c r="C154" s="243"/>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43"/>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43"/>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43"/>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43"/>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43"/>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43"/>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43"/>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43"/>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43"/>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43"/>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43"/>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43"/>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43"/>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43"/>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43"/>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43"/>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43"/>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43"/>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43"/>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43"/>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43"/>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43"/>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43"/>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43"/>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43"/>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290</v>
      </c>
      <c r="B181" s="95"/>
      <c r="C181" s="96"/>
      <c r="D181" s="96"/>
      <c r="E181" s="96"/>
      <c r="F181" s="96"/>
      <c r="G181" s="96"/>
      <c r="H181" s="96"/>
      <c r="I181" s="96"/>
      <c r="J181" s="96"/>
      <c r="K181" s="94"/>
      <c r="U181" s="94"/>
      <c r="V181" s="94"/>
      <c r="W181" s="94"/>
    </row>
    <row r="182" spans="1:23">
      <c r="A182" s="95" t="s">
        <v>417</v>
      </c>
      <c r="B182" s="95"/>
      <c r="C182" s="243">
        <v>8</v>
      </c>
      <c r="D182" s="96">
        <f>(C114*(1-'5.Closing Stock &amp; W Capital'!$D$15))*$C$182*D124</f>
        <v>22257664</v>
      </c>
      <c r="E182" s="96">
        <f>((D114*(1-'5.Closing Stock &amp; W Capital'!$D$15))+(C114*'5.Closing Stock &amp; W Capital'!$D$15))*$C$182*E124</f>
        <v>26398310.400000002</v>
      </c>
      <c r="F182" s="96">
        <f>((E114*(1-'5.Closing Stock &amp; W Capital'!$D$15))+(D114*'5.Closing Stock &amp; W Capital'!$D$15))*$C$182*F124</f>
        <v>29705195.520000011</v>
      </c>
      <c r="G182" s="96">
        <f>((F114*(1-'5.Closing Stock &amp; W Capital'!$D$15))+(E114*'5.Closing Stock &amp; W Capital'!$D$15))*$C$182*G124</f>
        <v>33276773.376000013</v>
      </c>
      <c r="H182" s="96">
        <f>((G114*(1-'5.Closing Stock &amp; W Capital'!$D$15))+(F114*'5.Closing Stock &amp; W Capital'!$D$15))*$C$182*H124</f>
        <v>37131246.028800018</v>
      </c>
      <c r="I182" s="96">
        <f>((H114*(1-'5.Closing Stock &amp; W Capital'!$D$15))+(G114*'5.Closing Stock &amp; W Capital'!$D$15))*$C$182*I124</f>
        <v>41287974.01344002</v>
      </c>
      <c r="J182" s="96">
        <f>((I114*(1-'5.Closing Stock &amp; W Capital'!$D$15))+(H114*'5.Closing Stock &amp; W Capital'!$D$15))*$C$182*J124</f>
        <v>45767546.681472011</v>
      </c>
      <c r="K182" s="94"/>
      <c r="U182" s="94"/>
      <c r="V182" s="94"/>
      <c r="W182" s="94"/>
    </row>
    <row r="183" spans="1:23">
      <c r="A183" s="95" t="s">
        <v>181</v>
      </c>
      <c r="B183" s="95"/>
      <c r="C183" s="243">
        <v>8</v>
      </c>
      <c r="D183" s="96">
        <f>(C115*(1-'5.Closing Stock &amp; W Capital'!$D$15))*$C$183*D124</f>
        <v>6677299.1999999993</v>
      </c>
      <c r="E183" s="96">
        <f>((D115*(1-'5.Closing Stock &amp; W Capital'!$D$15))+(C115*'5.Closing Stock &amp; W Capital'!$D$15))*$C$183*E124</f>
        <v>7919493.1200000001</v>
      </c>
      <c r="F183" s="96">
        <f>((E115*(1-'5.Closing Stock &amp; W Capital'!$D$15))+(D115*'5.Closing Stock &amp; W Capital'!$D$15))*$C$183*F124</f>
        <v>8911558.6560000032</v>
      </c>
      <c r="G183" s="96">
        <f>((F115*(1-'5.Closing Stock &amp; W Capital'!$D$15))+(E115*'5.Closing Stock &amp; W Capital'!$D$15))*$C$183*G124</f>
        <v>9983032.0128000043</v>
      </c>
      <c r="H183" s="96">
        <f>((G115*(1-'5.Closing Stock &amp; W Capital'!$D$15))+(F115*'5.Closing Stock &amp; W Capital'!$D$15))*$C$183*H124</f>
        <v>11139373.808640005</v>
      </c>
      <c r="I183" s="96">
        <f>((H115*(1-'5.Closing Stock &amp; W Capital'!$D$15))+(G115*'5.Closing Stock &amp; W Capital'!$D$15))*$C$183*I124</f>
        <v>12386392.204032006</v>
      </c>
      <c r="J183" s="96">
        <f>((I115*(1-'5.Closing Stock &amp; W Capital'!$D$15))+(H115*'5.Closing Stock &amp; W Capital'!$D$15))*$C$183*J124</f>
        <v>13730264.004441608</v>
      </c>
      <c r="K183" s="94"/>
      <c r="U183" s="94"/>
      <c r="V183" s="94"/>
      <c r="W183" s="94"/>
    </row>
    <row r="184" spans="1:23">
      <c r="A184" s="95" t="s">
        <v>183</v>
      </c>
      <c r="B184" s="95"/>
      <c r="C184" s="243">
        <v>10</v>
      </c>
      <c r="D184" s="96">
        <f>(C116*(1-'5.Closing Stock &amp; W Capital'!$D$15))*$C$184*D124</f>
        <v>8346623.9999999991</v>
      </c>
      <c r="E184" s="96">
        <f>((D116*(1-'5.Closing Stock &amp; W Capital'!$D$15))+(C116*'5.Closing Stock &amp; W Capital'!$D$15))*$C$184*E124</f>
        <v>9899366.4000000004</v>
      </c>
      <c r="F184" s="96">
        <f>((E116*(1-'5.Closing Stock &amp; W Capital'!$D$15))+(D116*'5.Closing Stock &amp; W Capital'!$D$15))*$C$184*F124</f>
        <v>11139448.320000004</v>
      </c>
      <c r="G184" s="96">
        <f>((F116*(1-'5.Closing Stock &amp; W Capital'!$D$15))+(E116*'5.Closing Stock &amp; W Capital'!$D$15))*$C$184*G124</f>
        <v>12478790.016000006</v>
      </c>
      <c r="H184" s="96">
        <f>((G116*(1-'5.Closing Stock &amp; W Capital'!$D$15))+(F116*'5.Closing Stock &amp; W Capital'!$D$15))*$C$184*H124</f>
        <v>13924217.260800008</v>
      </c>
      <c r="I184" s="96">
        <f>((H116*(1-'5.Closing Stock &amp; W Capital'!$D$15))+(G116*'5.Closing Stock &amp; W Capital'!$D$15))*$C$184*I124</f>
        <v>15482990.255040009</v>
      </c>
      <c r="J184" s="96">
        <f>((I116*(1-'5.Closing Stock &amp; W Capital'!$D$15))+(H116*'5.Closing Stock &amp; W Capital'!$D$15))*$C$184*J124</f>
        <v>17162830.005552009</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43">
        <v>655</v>
      </c>
      <c r="D187" s="96">
        <f>(C118*(1-'5.Closing Stock &amp; W Capital'!$D$15))*$C$187*D124</f>
        <v>3644692.48</v>
      </c>
      <c r="E187" s="96">
        <f>((D118*(1-'5.Closing Stock &amp; W Capital'!$D$15))+(C118*'5.Closing Stock &amp; W Capital'!$D$15))*$C$187*E124</f>
        <v>4322723.3279999997</v>
      </c>
      <c r="F187" s="96">
        <f>((E118*(1-'5.Closing Stock &amp; W Capital'!$D$15))+(D118*'5.Closing Stock &amp; W Capital'!$D$15))*$C$187*F124</f>
        <v>4864225.766400001</v>
      </c>
      <c r="G187" s="96">
        <f>((F118*(1-'5.Closing Stock &amp; W Capital'!$D$15))+(E118*'5.Closing Stock &amp; W Capital'!$D$15))*$C$187*G124</f>
        <v>5449071.640320003</v>
      </c>
      <c r="H187" s="96">
        <f>((G118*(1-'5.Closing Stock &amp; W Capital'!$D$15))+(F118*'5.Closing Stock &amp; W Capital'!$D$15))*$C$187*H124</f>
        <v>6080241.5372160031</v>
      </c>
      <c r="I187" s="96">
        <f>((H118*(1-'5.Closing Stock &amp; W Capital'!$D$15))+(G118*'5.Closing Stock &amp; W Capital'!$D$15))*$C$187*I124</f>
        <v>6760905.7447008025</v>
      </c>
      <c r="J187" s="96">
        <f>((I118*(1-'5.Closing Stock &amp; W Capital'!$D$15))+(H118*'5.Closing Stock &amp; W Capital'!$D$15))*$C$187*J124</f>
        <v>7494435.7690910427</v>
      </c>
      <c r="K187" s="94"/>
      <c r="U187" s="197"/>
      <c r="V187" s="197"/>
      <c r="W187" s="197"/>
    </row>
    <row r="188" spans="1:23">
      <c r="A188" s="95" t="s">
        <v>189</v>
      </c>
      <c r="B188" s="95"/>
      <c r="C188" s="243">
        <v>460</v>
      </c>
      <c r="D188" s="96">
        <f>(C119*(1-'5.Closing Stock &amp; W Capital'!$D$15))*$C$188*D124</f>
        <v>6399078.4000000004</v>
      </c>
      <c r="E188" s="96">
        <f>((D119*(1-'5.Closing Stock &amp; W Capital'!$D$15))+(C119*'5.Closing Stock &amp; W Capital'!$D$15))*$C$188*E124</f>
        <v>7589514.2400000002</v>
      </c>
      <c r="F188" s="96">
        <f>((E119*(1-'5.Closing Stock &amp; W Capital'!$D$15))+(D119*'5.Closing Stock &amp; W Capital'!$D$15))*$C$188*F124</f>
        <v>8540243.7120000012</v>
      </c>
      <c r="G188" s="96">
        <f>((F119*(1-'5.Closing Stock &amp; W Capital'!$D$15))+(E119*'5.Closing Stock &amp; W Capital'!$D$15))*$C$188*G124</f>
        <v>9567072.3456000015</v>
      </c>
      <c r="H188" s="96">
        <f>((G119*(1-'5.Closing Stock &amp; W Capital'!$D$15))+(F119*'5.Closing Stock &amp; W Capital'!$D$15))*$C$188*H124</f>
        <v>10675233.233280003</v>
      </c>
      <c r="I188" s="96">
        <f>((H119*(1-'5.Closing Stock &amp; W Capital'!$D$15))+(G119*'5.Closing Stock &amp; W Capital'!$D$15))*$C$188*I124</f>
        <v>11870292.528864004</v>
      </c>
      <c r="J188" s="96">
        <f>((I119*(1-'5.Closing Stock &amp; W Capital'!$D$15))+(H119*'5.Closing Stock &amp; W Capital'!$D$15))*$C$188*J124</f>
        <v>13158169.670923203</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49576338.239999995</v>
      </c>
      <c r="E191" s="115">
        <f t="shared" si="54"/>
        <v>58692764.592</v>
      </c>
      <c r="F191" s="115">
        <f t="shared" si="54"/>
        <v>66044552.66640003</v>
      </c>
      <c r="G191" s="115">
        <f t="shared" si="54"/>
        <v>73984787.636760026</v>
      </c>
      <c r="H191" s="115">
        <f t="shared" si="54"/>
        <v>82553934.722490042</v>
      </c>
      <c r="I191" s="115">
        <f t="shared" si="54"/>
        <v>91795034.54770115</v>
      </c>
      <c r="J191" s="115">
        <f t="shared" si="54"/>
        <v>101753859.51862712</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315</v>
      </c>
      <c r="B196" s="94"/>
      <c r="C196" s="94"/>
      <c r="D196" s="94"/>
      <c r="E196" s="94"/>
      <c r="F196" s="94"/>
      <c r="G196" s="94"/>
      <c r="H196" s="94"/>
      <c r="I196" s="94"/>
      <c r="J196" s="94"/>
      <c r="K196" s="94"/>
      <c r="U196" s="94"/>
      <c r="V196" s="94"/>
      <c r="W196" s="94"/>
    </row>
    <row r="197" spans="1:23">
      <c r="A197" s="95" t="str">
        <f t="shared" ref="A197:A238" si="55">A130</f>
        <v>Soybean</v>
      </c>
      <c r="B197" s="94"/>
      <c r="C197" s="243">
        <v>90</v>
      </c>
      <c r="D197" s="96">
        <f t="shared" ref="D197:J206" si="56">C62*$C197*D$124</f>
        <v>2223936</v>
      </c>
      <c r="E197" s="96">
        <f t="shared" si="56"/>
        <v>2514758.4</v>
      </c>
      <c r="F197" s="96">
        <f t="shared" si="56"/>
        <v>2829103.2000000007</v>
      </c>
      <c r="G197" s="96">
        <f t="shared" si="56"/>
        <v>3168595.5840000007</v>
      </c>
      <c r="H197" s="96">
        <f t="shared" si="56"/>
        <v>3534964.448400002</v>
      </c>
      <c r="I197" s="96">
        <f t="shared" si="56"/>
        <v>3930048.7102800021</v>
      </c>
      <c r="J197" s="96">
        <f t="shared" si="56"/>
        <v>4355803.9872270022</v>
      </c>
      <c r="K197" s="94"/>
      <c r="U197" s="94"/>
      <c r="V197" s="94"/>
      <c r="W197" s="94"/>
    </row>
    <row r="198" spans="1:23">
      <c r="A198" s="95" t="str">
        <f t="shared" si="55"/>
        <v>Red Gram/Tur</v>
      </c>
      <c r="B198" s="95"/>
      <c r="C198" s="243">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43">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43">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43">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43">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43">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43">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43"/>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43">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43">
        <v>70</v>
      </c>
      <c r="D207" s="96">
        <f t="shared" ref="D207:J216" si="57">C72*$C207*D$124</f>
        <v>320320.00000000006</v>
      </c>
      <c r="E207" s="96">
        <f t="shared" si="57"/>
        <v>362208.00000000006</v>
      </c>
      <c r="F207" s="96">
        <f t="shared" si="57"/>
        <v>407484.00000000006</v>
      </c>
      <c r="G207" s="96">
        <f t="shared" si="57"/>
        <v>456382.08000000019</v>
      </c>
      <c r="H207" s="96">
        <f t="shared" si="57"/>
        <v>509151.25800000026</v>
      </c>
      <c r="I207" s="96">
        <f t="shared" si="57"/>
        <v>566056.39860000031</v>
      </c>
      <c r="J207" s="96">
        <f t="shared" si="57"/>
        <v>627379.17511500046</v>
      </c>
      <c r="K207" s="94"/>
      <c r="L207" s="94"/>
      <c r="M207" s="94"/>
      <c r="N207" s="94"/>
      <c r="O207" s="94"/>
      <c r="P207" s="94"/>
      <c r="Q207" s="94"/>
      <c r="R207" s="94"/>
      <c r="S207" s="94"/>
      <c r="T207" s="94"/>
      <c r="U207" s="94"/>
      <c r="V207" s="94"/>
      <c r="W207" s="94"/>
    </row>
    <row r="208" spans="1:23">
      <c r="A208" s="95" t="str">
        <f t="shared" si="55"/>
        <v>Jawar</v>
      </c>
      <c r="B208" s="95"/>
      <c r="C208" s="243">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43">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43">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43"/>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43"/>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43"/>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43"/>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43"/>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43"/>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43"/>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43"/>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43"/>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43"/>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43"/>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43"/>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43"/>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43"/>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43"/>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43"/>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43"/>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43"/>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43"/>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43"/>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43"/>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43"/>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43"/>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43"/>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43"/>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43"/>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43"/>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43"/>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43"/>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43"/>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43"/>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43"/>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43">
        <v>5</v>
      </c>
      <c r="D245" s="96">
        <f t="shared" ref="D245:J245" si="62">C114*$C$245*D124</f>
        <v>14643200</v>
      </c>
      <c r="E245" s="96">
        <f t="shared" si="62"/>
        <v>16558080</v>
      </c>
      <c r="F245" s="96">
        <f t="shared" si="62"/>
        <v>18627840.000000004</v>
      </c>
      <c r="G245" s="96">
        <f t="shared" si="62"/>
        <v>20863180.800000008</v>
      </c>
      <c r="H245" s="96">
        <f t="shared" si="62"/>
        <v>23275486.080000013</v>
      </c>
      <c r="I245" s="96">
        <f t="shared" si="62"/>
        <v>25876863.936000012</v>
      </c>
      <c r="J245" s="96">
        <f t="shared" si="62"/>
        <v>28680190.86240001</v>
      </c>
      <c r="K245" s="94"/>
      <c r="L245" s="94"/>
      <c r="M245" s="94"/>
      <c r="N245" s="94"/>
      <c r="O245" s="94"/>
      <c r="P245" s="94"/>
      <c r="Q245" s="94"/>
      <c r="R245" s="94"/>
      <c r="S245" s="94"/>
      <c r="T245" s="94"/>
      <c r="U245" s="94"/>
      <c r="V245" s="94"/>
      <c r="W245" s="94"/>
    </row>
    <row r="246" spans="1:23">
      <c r="A246" s="95" t="str">
        <f>A183</f>
        <v>Urea</v>
      </c>
      <c r="B246" s="95"/>
      <c r="C246" s="243">
        <v>4</v>
      </c>
      <c r="D246" s="96">
        <f t="shared" ref="D246:J246" si="63">C115*$C$246*D124</f>
        <v>3514368</v>
      </c>
      <c r="E246" s="96">
        <f t="shared" si="63"/>
        <v>3973939.2000000002</v>
      </c>
      <c r="F246" s="96">
        <f t="shared" si="63"/>
        <v>4470681.6000000015</v>
      </c>
      <c r="G246" s="96">
        <f t="shared" si="63"/>
        <v>5007163.3920000019</v>
      </c>
      <c r="H246" s="96">
        <f t="shared" si="63"/>
        <v>5586116.6592000034</v>
      </c>
      <c r="I246" s="96">
        <f t="shared" si="63"/>
        <v>6210447.3446400026</v>
      </c>
      <c r="J246" s="96">
        <f t="shared" si="63"/>
        <v>6883245.8069760036</v>
      </c>
      <c r="K246" s="94"/>
      <c r="L246" s="94"/>
      <c r="M246" s="94"/>
      <c r="N246" s="94"/>
      <c r="O246" s="94"/>
      <c r="P246" s="94"/>
      <c r="Q246" s="94"/>
      <c r="R246" s="94"/>
      <c r="S246" s="94"/>
      <c r="T246" s="94"/>
      <c r="U246" s="94"/>
      <c r="V246" s="94"/>
      <c r="W246" s="94"/>
    </row>
    <row r="247" spans="1:23">
      <c r="A247" s="95" t="str">
        <f>A184</f>
        <v>DAP</v>
      </c>
      <c r="B247" s="95"/>
      <c r="C247" s="243">
        <v>16</v>
      </c>
      <c r="D247" s="96">
        <f t="shared" ref="D247:J247" si="64">C116*$C$247*D124</f>
        <v>14057472</v>
      </c>
      <c r="E247" s="96">
        <f t="shared" si="64"/>
        <v>15895756.800000001</v>
      </c>
      <c r="F247" s="96">
        <f t="shared" si="64"/>
        <v>17882726.400000006</v>
      </c>
      <c r="G247" s="96">
        <f t="shared" si="64"/>
        <v>20028653.568000007</v>
      </c>
      <c r="H247" s="96">
        <f t="shared" si="64"/>
        <v>22344466.636800013</v>
      </c>
      <c r="I247" s="96">
        <f t="shared" si="64"/>
        <v>24841789.37856001</v>
      </c>
      <c r="J247" s="96">
        <f t="shared" si="64"/>
        <v>27532983.227904014</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43">
        <v>500</v>
      </c>
      <c r="D250" s="96">
        <f t="shared" ref="D250:J250" si="65">C118*$C$250*D124</f>
        <v>2928640.0000000005</v>
      </c>
      <c r="E250" s="96">
        <f t="shared" si="65"/>
        <v>3311616</v>
      </c>
      <c r="F250" s="96">
        <f t="shared" si="65"/>
        <v>3725568.0000000009</v>
      </c>
      <c r="G250" s="96">
        <f t="shared" si="65"/>
        <v>4172636.160000002</v>
      </c>
      <c r="H250" s="96">
        <f t="shared" si="65"/>
        <v>4655097.2160000028</v>
      </c>
      <c r="I250" s="96">
        <f t="shared" si="65"/>
        <v>5175372.7872000029</v>
      </c>
      <c r="J250" s="96">
        <f t="shared" si="65"/>
        <v>5736038.172480003</v>
      </c>
      <c r="K250" s="94"/>
      <c r="L250" s="94"/>
      <c r="M250" s="94"/>
      <c r="N250" s="94"/>
      <c r="O250" s="94"/>
      <c r="P250" s="94"/>
      <c r="Q250" s="94"/>
      <c r="R250" s="94"/>
      <c r="S250" s="94"/>
      <c r="T250" s="94"/>
      <c r="U250" s="94"/>
      <c r="V250" s="94"/>
      <c r="W250" s="94"/>
    </row>
    <row r="251" spans="1:23">
      <c r="A251" s="95" t="str">
        <f>A188</f>
        <v>Confidor Boyer</v>
      </c>
      <c r="B251" s="95"/>
      <c r="C251" s="243">
        <v>315</v>
      </c>
      <c r="D251" s="96">
        <f t="shared" ref="D251:J251" si="66">C119*$C$251*D124</f>
        <v>4612608</v>
      </c>
      <c r="E251" s="96">
        <f t="shared" si="66"/>
        <v>5215795.2000000002</v>
      </c>
      <c r="F251" s="96">
        <f t="shared" si="66"/>
        <v>5867769.6000000015</v>
      </c>
      <c r="G251" s="96">
        <f t="shared" si="66"/>
        <v>6571901.9520000033</v>
      </c>
      <c r="H251" s="96">
        <f t="shared" si="66"/>
        <v>7331778.1152000036</v>
      </c>
      <c r="I251" s="96">
        <f t="shared" si="66"/>
        <v>8151212.1398400031</v>
      </c>
      <c r="J251" s="96">
        <f t="shared" si="66"/>
        <v>9034260.1216560043</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294</v>
      </c>
      <c r="B253" s="95"/>
      <c r="C253" s="243">
        <v>9</v>
      </c>
      <c r="D253" s="96">
        <f t="shared" ref="D253:J253" si="67">(SUM(C63:C119)/50)*$C$253*D124</f>
        <v>847962.08640000003</v>
      </c>
      <c r="E253" s="96">
        <f t="shared" si="67"/>
        <v>958849.43615999992</v>
      </c>
      <c r="F253" s="96">
        <f t="shared" si="67"/>
        <v>1078705.6156800003</v>
      </c>
      <c r="G253" s="96">
        <f t="shared" si="67"/>
        <v>1208150.2895616004</v>
      </c>
      <c r="H253" s="96">
        <f t="shared" si="67"/>
        <v>1347842.6667921606</v>
      </c>
      <c r="I253" s="96">
        <f t="shared" si="67"/>
        <v>1498483.9060218728</v>
      </c>
      <c r="J253" s="96">
        <f t="shared" si="67"/>
        <v>1660819.6625075752</v>
      </c>
      <c r="K253" s="94"/>
      <c r="L253" s="94"/>
      <c r="M253" s="94"/>
      <c r="N253" s="94"/>
      <c r="O253" s="94"/>
      <c r="P253" s="94"/>
      <c r="Q253" s="94"/>
      <c r="R253" s="94"/>
      <c r="S253" s="94"/>
      <c r="T253" s="94"/>
      <c r="U253" s="94"/>
      <c r="V253" s="94"/>
      <c r="W253" s="94"/>
    </row>
    <row r="254" spans="1:23">
      <c r="A254" s="95" t="s">
        <v>174</v>
      </c>
      <c r="B254" s="95"/>
      <c r="C254" s="243">
        <v>25</v>
      </c>
      <c r="D254" s="96">
        <f t="shared" ref="D254:J254" si="68">(SUM(C63:C119)/50)*$C$254*D124</f>
        <v>2355450.2400000002</v>
      </c>
      <c r="E254" s="96">
        <f t="shared" si="68"/>
        <v>2663470.656</v>
      </c>
      <c r="F254" s="96">
        <f t="shared" si="68"/>
        <v>2996404.4880000008</v>
      </c>
      <c r="G254" s="96">
        <f t="shared" si="68"/>
        <v>3355973.0265600011</v>
      </c>
      <c r="H254" s="96">
        <f t="shared" si="68"/>
        <v>3744007.4077560017</v>
      </c>
      <c r="I254" s="96">
        <f t="shared" si="68"/>
        <v>4162455.2945052017</v>
      </c>
      <c r="J254" s="96">
        <f t="shared" si="68"/>
        <v>4613387.9514099313</v>
      </c>
      <c r="K254" s="94"/>
      <c r="L254" s="94"/>
      <c r="M254" s="94"/>
      <c r="N254" s="94"/>
      <c r="O254" s="94"/>
      <c r="P254" s="94"/>
      <c r="Q254" s="94"/>
      <c r="R254" s="94"/>
      <c r="S254" s="94"/>
      <c r="T254" s="94"/>
      <c r="U254" s="94"/>
      <c r="V254" s="94"/>
      <c r="W254" s="94"/>
    </row>
    <row r="255" spans="1:23">
      <c r="A255" s="95"/>
      <c r="B255" s="95"/>
      <c r="C255" s="243"/>
      <c r="D255" s="19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43"/>
      <c r="D256" s="19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43"/>
      <c r="D257" s="19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43"/>
      <c r="D258" s="198"/>
      <c r="E258" s="96"/>
      <c r="F258" s="96"/>
      <c r="G258" s="96"/>
      <c r="H258" s="96"/>
      <c r="I258" s="96"/>
      <c r="J258" s="96"/>
      <c r="K258" s="94"/>
      <c r="L258" s="94"/>
      <c r="M258" s="94"/>
      <c r="N258" s="94"/>
      <c r="O258" s="94"/>
      <c r="P258" s="94"/>
      <c r="Q258" s="94"/>
      <c r="R258" s="94"/>
      <c r="S258" s="94"/>
      <c r="T258" s="94"/>
      <c r="U258" s="94"/>
      <c r="V258" s="94"/>
      <c r="W258" s="94"/>
    </row>
    <row r="259" spans="1:23">
      <c r="A259" s="95" t="s">
        <v>348</v>
      </c>
      <c r="B259" s="95"/>
      <c r="C259" s="96"/>
      <c r="D259" s="198"/>
      <c r="E259" s="96">
        <f>'5.Closing Stock &amp; W Capital'!F6</f>
        <v>2115027.2000000002</v>
      </c>
      <c r="F259" s="96">
        <f>'5.Closing Stock &amp; W Capital'!G6</f>
        <v>2391607.6800000002</v>
      </c>
      <c r="G259" s="96">
        <f>'5.Closing Stock &amp; W Capital'!H6</f>
        <v>2690558.6400000006</v>
      </c>
      <c r="H259" s="96">
        <f>'5.Closing Stock &amp; W Capital'!I6</f>
        <v>3013425.6768000014</v>
      </c>
      <c r="I259" s="96">
        <f>'5.Closing Stock &amp; W Capital'!J6</f>
        <v>3361853.0206800024</v>
      </c>
      <c r="J259" s="96">
        <f>'5.Closing Stock &amp; W Capital'!K6</f>
        <v>3737589.534756002</v>
      </c>
      <c r="K259" s="94"/>
      <c r="L259" s="94"/>
      <c r="M259" s="94"/>
      <c r="N259" s="94"/>
      <c r="O259" s="94"/>
      <c r="P259" s="94"/>
      <c r="Q259" s="94"/>
      <c r="R259" s="94"/>
      <c r="S259" s="94"/>
      <c r="T259" s="94"/>
      <c r="U259" s="94"/>
      <c r="V259" s="94"/>
      <c r="W259" s="94"/>
    </row>
    <row r="260" spans="1:23">
      <c r="A260" s="99" t="s">
        <v>349</v>
      </c>
      <c r="B260" s="95"/>
      <c r="C260" s="95"/>
      <c r="D260" s="198">
        <f>'5.Closing Stock &amp; W Capital'!E15</f>
        <v>2115027.2000000002</v>
      </c>
      <c r="E260" s="96">
        <f>'5.Closing Stock &amp; W Capital'!F15</f>
        <v>2391607.6800000002</v>
      </c>
      <c r="F260" s="96">
        <f>'5.Closing Stock &amp; W Capital'!G15</f>
        <v>2690558.6400000006</v>
      </c>
      <c r="G260" s="96">
        <f>'5.Closing Stock &amp; W Capital'!H15</f>
        <v>3013425.6768000014</v>
      </c>
      <c r="H260" s="96">
        <f>'5.Closing Stock &amp; W Capital'!I15</f>
        <v>3361853.0206800024</v>
      </c>
      <c r="I260" s="96">
        <f>'5.Closing Stock &amp; W Capital'!J15</f>
        <v>3737589.534756002</v>
      </c>
      <c r="J260" s="96">
        <f>'5.Closing Stock &amp; W Capital'!K15</f>
        <v>4142495.0676879021</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326</v>
      </c>
      <c r="B262" s="97"/>
      <c r="C262" s="115"/>
      <c r="D262" s="115">
        <f>SUM(D197:D258)+D259-D260</f>
        <v>43388929.126400001</v>
      </c>
      <c r="E262" s="115">
        <f t="shared" ref="E262:J262" si="69">SUM(E197:E258)+E259-E260</f>
        <v>51177893.212160006</v>
      </c>
      <c r="F262" s="115">
        <f t="shared" si="69"/>
        <v>57587331.943680011</v>
      </c>
      <c r="G262" s="115">
        <f t="shared" si="69"/>
        <v>64509769.815321639</v>
      </c>
      <c r="H262" s="115">
        <f t="shared" si="69"/>
        <v>71980483.1442682</v>
      </c>
      <c r="I262" s="115">
        <f t="shared" si="69"/>
        <v>80036993.381571114</v>
      </c>
      <c r="J262" s="115">
        <f t="shared" si="69"/>
        <v>88719203.434743658</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313</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331</v>
      </c>
      <c r="B265" s="95">
        <v>12</v>
      </c>
      <c r="C265" s="243"/>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332</v>
      </c>
      <c r="B266" s="223">
        <v>1</v>
      </c>
      <c r="C266" s="243">
        <v>8000</v>
      </c>
      <c r="D266" s="96">
        <f t="shared" ref="D266:J266" si="71">$B$266*$C$266*12*D124</f>
        <v>96000</v>
      </c>
      <c r="E266" s="96">
        <f t="shared" si="71"/>
        <v>100800</v>
      </c>
      <c r="F266" s="96">
        <f t="shared" si="71"/>
        <v>105840</v>
      </c>
      <c r="G266" s="96">
        <f t="shared" si="71"/>
        <v>111132.00000000001</v>
      </c>
      <c r="H266" s="96">
        <f t="shared" si="71"/>
        <v>116688.60000000002</v>
      </c>
      <c r="I266" s="96">
        <f t="shared" si="71"/>
        <v>122523.03000000003</v>
      </c>
      <c r="J266" s="96">
        <f t="shared" si="71"/>
        <v>128649.18150000004</v>
      </c>
      <c r="K266" s="94"/>
      <c r="L266" s="94"/>
      <c r="M266" s="94"/>
      <c r="N266" s="94"/>
      <c r="O266" s="94"/>
      <c r="P266" s="94"/>
      <c r="Q266" s="94"/>
      <c r="R266" s="94"/>
      <c r="S266" s="94"/>
      <c r="T266" s="94"/>
      <c r="U266" s="94"/>
      <c r="V266" s="94"/>
      <c r="W266" s="94"/>
    </row>
    <row r="267" spans="1:23">
      <c r="A267" s="95" t="s">
        <v>194</v>
      </c>
      <c r="B267" s="223">
        <v>2</v>
      </c>
      <c r="C267" s="243">
        <v>5000</v>
      </c>
      <c r="D267" s="96">
        <f t="shared" ref="D267:J267" si="72">$B$267*$C$267*12*D124</f>
        <v>120000</v>
      </c>
      <c r="E267" s="96">
        <f t="shared" si="72"/>
        <v>126000</v>
      </c>
      <c r="F267" s="96">
        <f t="shared" si="72"/>
        <v>132300</v>
      </c>
      <c r="G267" s="96">
        <f t="shared" si="72"/>
        <v>138915.00000000003</v>
      </c>
      <c r="H267" s="96">
        <f t="shared" si="72"/>
        <v>145860.75000000003</v>
      </c>
      <c r="I267" s="96">
        <f t="shared" si="72"/>
        <v>153153.78750000003</v>
      </c>
      <c r="J267" s="96">
        <f t="shared" si="72"/>
        <v>160811.47687500005</v>
      </c>
      <c r="K267" s="94"/>
      <c r="L267" s="94"/>
      <c r="M267" s="94"/>
      <c r="N267" s="94"/>
      <c r="O267" s="94"/>
      <c r="P267" s="94"/>
      <c r="Q267" s="94"/>
      <c r="R267" s="94"/>
      <c r="S267" s="94"/>
      <c r="T267" s="94"/>
      <c r="U267" s="94"/>
      <c r="V267" s="94"/>
      <c r="W267" s="94"/>
    </row>
    <row r="268" spans="1:23">
      <c r="A268" s="95" t="s">
        <v>333</v>
      </c>
      <c r="B268" s="95">
        <v>12</v>
      </c>
      <c r="C268" s="243">
        <v>5000</v>
      </c>
      <c r="D268" s="96">
        <f t="shared" ref="D268:J268" si="73">$B$268*$C$268*D124</f>
        <v>60000</v>
      </c>
      <c r="E268" s="96">
        <f t="shared" si="73"/>
        <v>63000</v>
      </c>
      <c r="F268" s="96">
        <f t="shared" si="73"/>
        <v>66150</v>
      </c>
      <c r="G268" s="96">
        <f t="shared" si="73"/>
        <v>69457.500000000015</v>
      </c>
      <c r="H268" s="96">
        <f t="shared" si="73"/>
        <v>72930.375000000015</v>
      </c>
      <c r="I268" s="96">
        <f t="shared" si="73"/>
        <v>76576.893750000017</v>
      </c>
      <c r="J268" s="96">
        <f t="shared" si="73"/>
        <v>80405.738437500026</v>
      </c>
      <c r="K268" s="94"/>
      <c r="L268" s="94"/>
      <c r="M268" s="94"/>
      <c r="N268" s="94"/>
      <c r="O268" s="94"/>
      <c r="P268" s="94"/>
      <c r="Q268" s="94"/>
      <c r="R268" s="94"/>
      <c r="S268" s="94"/>
      <c r="T268" s="94"/>
      <c r="U268" s="94"/>
      <c r="V268" s="94"/>
      <c r="W268" s="94"/>
    </row>
    <row r="269" spans="1:23">
      <c r="A269" s="95"/>
      <c r="B269" s="95"/>
      <c r="C269" s="243"/>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43"/>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43"/>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43"/>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330</v>
      </c>
      <c r="B273" s="97"/>
      <c r="C273" s="115"/>
      <c r="D273" s="115">
        <f>SUM(D265:D272)</f>
        <v>276000</v>
      </c>
      <c r="E273" s="115">
        <f t="shared" ref="E273:J273" si="74">SUM(E265:E272)</f>
        <v>289800</v>
      </c>
      <c r="F273" s="115">
        <f t="shared" si="74"/>
        <v>304290</v>
      </c>
      <c r="G273" s="115">
        <f t="shared" si="74"/>
        <v>319504.50000000006</v>
      </c>
      <c r="H273" s="115">
        <f t="shared" si="74"/>
        <v>335479.72500000003</v>
      </c>
      <c r="I273" s="115">
        <f t="shared" si="74"/>
        <v>352253.71125000005</v>
      </c>
      <c r="J273" s="115">
        <f t="shared" si="74"/>
        <v>369866.39681250014</v>
      </c>
      <c r="K273" s="94"/>
      <c r="L273" s="94"/>
      <c r="M273" s="94"/>
      <c r="N273" s="94"/>
      <c r="O273" s="94"/>
      <c r="P273" s="94"/>
      <c r="Q273" s="94"/>
      <c r="R273" s="94"/>
      <c r="S273" s="94"/>
      <c r="T273" s="94"/>
      <c r="U273" s="94"/>
      <c r="V273" s="94"/>
      <c r="W273" s="94"/>
    </row>
    <row r="274" spans="1:23">
      <c r="A274" s="186" t="s">
        <v>136</v>
      </c>
      <c r="B274" s="186"/>
      <c r="C274" s="199"/>
      <c r="D274" s="115">
        <f t="shared" ref="D274:J274" si="75">D262+D273</f>
        <v>43664929.126400001</v>
      </c>
      <c r="E274" s="115">
        <f t="shared" si="75"/>
        <v>51467693.212160006</v>
      </c>
      <c r="F274" s="115">
        <f t="shared" si="75"/>
        <v>57891621.943680011</v>
      </c>
      <c r="G274" s="115">
        <f t="shared" si="75"/>
        <v>64829274.315321639</v>
      </c>
      <c r="H274" s="115">
        <f t="shared" si="75"/>
        <v>72315962.869268194</v>
      </c>
      <c r="I274" s="115">
        <f t="shared" si="75"/>
        <v>80389247.092821121</v>
      </c>
      <c r="J274" s="115">
        <f t="shared" si="75"/>
        <v>89089069.831556156</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86" t="s">
        <v>7</v>
      </c>
      <c r="B276" s="186"/>
      <c r="C276" s="199"/>
      <c r="D276" s="115">
        <f t="shared" ref="D276:J276" si="76">D191-D274</f>
        <v>5911409.1135999933</v>
      </c>
      <c r="E276" s="115">
        <f t="shared" si="76"/>
        <v>7225071.379839994</v>
      </c>
      <c r="F276" s="115">
        <f t="shared" si="76"/>
        <v>8152930.7227200195</v>
      </c>
      <c r="G276" s="115">
        <f t="shared" si="76"/>
        <v>9155513.321438387</v>
      </c>
      <c r="H276" s="115">
        <f t="shared" si="76"/>
        <v>10237971.853221849</v>
      </c>
      <c r="I276" s="115">
        <f t="shared" si="76"/>
        <v>11405787.454880029</v>
      </c>
      <c r="J276" s="115">
        <f t="shared" si="76"/>
        <v>12664789.687070966</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39" t="s">
        <v>431</v>
      </c>
      <c r="B279" s="439"/>
      <c r="C279" s="439"/>
      <c r="D279" s="439"/>
      <c r="E279" s="439"/>
      <c r="F279" s="439"/>
      <c r="G279" s="439"/>
      <c r="H279" s="439"/>
      <c r="I279" s="439"/>
      <c r="J279" s="439"/>
    </row>
    <row r="281" spans="1:23">
      <c r="A281" t="s">
        <v>555</v>
      </c>
    </row>
    <row r="282" spans="1:23">
      <c r="A282">
        <v>1</v>
      </c>
      <c r="B282" t="s">
        <v>568</v>
      </c>
    </row>
    <row r="283" spans="1:23">
      <c r="A283">
        <v>2</v>
      </c>
      <c r="B283" t="s">
        <v>569</v>
      </c>
    </row>
    <row r="284" spans="1:23">
      <c r="A284">
        <v>3</v>
      </c>
      <c r="B284" s="94" t="s">
        <v>621</v>
      </c>
    </row>
  </sheetData>
  <mergeCells count="3">
    <mergeCell ref="A122:J122"/>
    <mergeCell ref="A2:I2"/>
    <mergeCell ref="A279:J279"/>
  </mergeCells>
  <pageMargins left="0.7" right="0.7" top="0.52" bottom="0.75" header="0.3" footer="0.3"/>
  <pageSetup scale="54" fitToHeight="0" orientation="portrait" r:id="rId1"/>
  <rowBreaks count="2" manualBreakCount="2">
    <brk id="84" max="9" man="1"/>
    <brk id="192"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66"/>
  <sheetViews>
    <sheetView view="pageBreakPreview" topLeftCell="A136" zoomScale="80" zoomScaleNormal="100" zoomScaleSheetLayoutView="80" workbookViewId="0">
      <selection activeCell="K140" sqref="K140"/>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38" t="s">
        <v>616</v>
      </c>
      <c r="B3" s="438"/>
      <c r="C3" s="438"/>
      <c r="D3" s="438"/>
      <c r="E3" s="438"/>
      <c r="F3" s="438"/>
      <c r="G3" s="438"/>
      <c r="H3" s="438"/>
    </row>
    <row r="4" spans="1:8" ht="18.75">
      <c r="A4" s="438" t="s">
        <v>617</v>
      </c>
      <c r="B4" s="438"/>
      <c r="C4" s="438"/>
      <c r="D4" s="438"/>
      <c r="E4" s="438"/>
      <c r="F4" s="438"/>
      <c r="G4" s="438"/>
      <c r="H4" s="438"/>
    </row>
    <row r="5" spans="1:8">
      <c r="A5" s="94" t="s">
        <v>163</v>
      </c>
      <c r="B5" s="236">
        <v>1</v>
      </c>
      <c r="C5" s="94" t="s">
        <v>485</v>
      </c>
      <c r="D5" s="94"/>
      <c r="E5" s="94"/>
      <c r="F5" s="94"/>
      <c r="G5" s="94"/>
      <c r="H5" s="94"/>
    </row>
    <row r="6" spans="1:8">
      <c r="A6" s="94" t="s">
        <v>164</v>
      </c>
      <c r="B6" s="269">
        <v>8</v>
      </c>
      <c r="C6" s="94"/>
      <c r="D6" s="94"/>
      <c r="E6" s="94"/>
      <c r="F6" s="94"/>
      <c r="G6" s="94"/>
      <c r="H6" s="94"/>
    </row>
    <row r="7" spans="1:8">
      <c r="A7" s="94"/>
      <c r="B7" s="269"/>
      <c r="C7" s="94"/>
      <c r="D7" s="94"/>
      <c r="E7" s="94"/>
      <c r="F7" s="94"/>
      <c r="G7" s="94"/>
      <c r="H7" s="94"/>
    </row>
    <row r="8" spans="1:8">
      <c r="A8" s="94"/>
      <c r="B8" s="269"/>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02">
        <f t="shared" ref="B12:H12" si="0">B39/($B$5*$B$6)</f>
        <v>0</v>
      </c>
      <c r="C12" s="302">
        <f t="shared" si="0"/>
        <v>0</v>
      </c>
      <c r="D12" s="302">
        <f t="shared" si="0"/>
        <v>0</v>
      </c>
      <c r="E12" s="302">
        <f t="shared" si="0"/>
        <v>0</v>
      </c>
      <c r="F12" s="302">
        <f t="shared" si="0"/>
        <v>0</v>
      </c>
      <c r="G12" s="302">
        <f t="shared" si="0"/>
        <v>0</v>
      </c>
      <c r="H12" s="302">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476</v>
      </c>
      <c r="B39" s="95">
        <f>SUM(B13:B37)</f>
        <v>0</v>
      </c>
      <c r="C39" s="95">
        <f t="shared" ref="C39:H39" si="1">SUM(C13:C37)</f>
        <v>0</v>
      </c>
      <c r="D39" s="95">
        <f t="shared" si="1"/>
        <v>0</v>
      </c>
      <c r="E39" s="95">
        <f t="shared" si="1"/>
        <v>0</v>
      </c>
      <c r="F39" s="95">
        <f t="shared" si="1"/>
        <v>0</v>
      </c>
      <c r="G39" s="95">
        <f t="shared" si="1"/>
        <v>0</v>
      </c>
      <c r="H39" s="95">
        <f t="shared" si="1"/>
        <v>0</v>
      </c>
    </row>
    <row r="40" spans="1:8">
      <c r="A40" s="312" t="s">
        <v>167</v>
      </c>
      <c r="B40" s="268">
        <v>0</v>
      </c>
      <c r="C40" s="268">
        <f>B40</f>
        <v>0</v>
      </c>
      <c r="D40" s="268">
        <f t="shared" ref="D40:H40" si="2">C40</f>
        <v>0</v>
      </c>
      <c r="E40" s="268">
        <f t="shared" si="2"/>
        <v>0</v>
      </c>
      <c r="F40" s="268">
        <f t="shared" si="2"/>
        <v>0</v>
      </c>
      <c r="G40" s="268">
        <f t="shared" si="2"/>
        <v>0</v>
      </c>
      <c r="H40" s="268">
        <f t="shared" si="2"/>
        <v>0</v>
      </c>
    </row>
    <row r="41" spans="1:8">
      <c r="A41" s="99" t="s">
        <v>486</v>
      </c>
      <c r="B41" s="313">
        <f>1-B40</f>
        <v>1</v>
      </c>
      <c r="C41" s="313">
        <f t="shared" ref="C41:H41" si="3">1-C40</f>
        <v>1</v>
      </c>
      <c r="D41" s="313">
        <f t="shared" si="3"/>
        <v>1</v>
      </c>
      <c r="E41" s="313">
        <f t="shared" si="3"/>
        <v>1</v>
      </c>
      <c r="F41" s="313">
        <f t="shared" si="3"/>
        <v>1</v>
      </c>
      <c r="G41" s="313">
        <f t="shared" si="3"/>
        <v>1</v>
      </c>
      <c r="H41" s="313">
        <f t="shared" si="3"/>
        <v>1</v>
      </c>
    </row>
    <row r="42" spans="1:8">
      <c r="A42" s="97" t="s">
        <v>167</v>
      </c>
      <c r="B42" s="247">
        <f>B39*B40</f>
        <v>0</v>
      </c>
      <c r="C42" s="247">
        <f t="shared" ref="C42:H42" si="4">C39*C40</f>
        <v>0</v>
      </c>
      <c r="D42" s="247">
        <f t="shared" si="4"/>
        <v>0</v>
      </c>
      <c r="E42" s="247">
        <f t="shared" si="4"/>
        <v>0</v>
      </c>
      <c r="F42" s="247">
        <f t="shared" si="4"/>
        <v>0</v>
      </c>
      <c r="G42" s="247">
        <f t="shared" si="4"/>
        <v>0</v>
      </c>
      <c r="H42" s="247">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288</v>
      </c>
      <c r="B66" s="95"/>
      <c r="C66" s="95"/>
      <c r="D66" s="95"/>
      <c r="E66" s="95"/>
      <c r="F66" s="95"/>
      <c r="G66" s="95"/>
      <c r="H66" s="95"/>
    </row>
    <row r="67" spans="1:8">
      <c r="A67" s="95" t="str">
        <f>A44</f>
        <v>Onion</v>
      </c>
      <c r="B67" s="181"/>
      <c r="C67" s="181"/>
      <c r="D67" s="181"/>
      <c r="E67" s="181"/>
      <c r="F67" s="181"/>
      <c r="G67" s="181"/>
      <c r="H67" s="181"/>
    </row>
    <row r="68" spans="1:8">
      <c r="A68" s="95"/>
      <c r="B68" s="181"/>
      <c r="C68" s="181"/>
      <c r="D68" s="181"/>
      <c r="E68" s="181"/>
      <c r="F68" s="181"/>
      <c r="G68" s="181"/>
      <c r="H68" s="181"/>
    </row>
    <row r="69" spans="1:8">
      <c r="A69" s="95" t="str">
        <f>A45</f>
        <v>Tomato</v>
      </c>
      <c r="B69" s="96"/>
      <c r="C69" s="96"/>
      <c r="D69" s="96"/>
      <c r="E69" s="96"/>
      <c r="F69" s="96"/>
      <c r="G69" s="96"/>
      <c r="H69" s="96"/>
    </row>
    <row r="70" spans="1:8">
      <c r="A70" s="95"/>
      <c r="B70" s="96"/>
      <c r="C70" s="96"/>
      <c r="D70" s="96"/>
      <c r="E70" s="96"/>
      <c r="F70" s="96"/>
      <c r="G70" s="96"/>
      <c r="H70" s="96"/>
    </row>
    <row r="71" spans="1:8">
      <c r="A71" s="95" t="str">
        <f>A46</f>
        <v>Okra</v>
      </c>
      <c r="B71" s="96"/>
      <c r="C71" s="96"/>
      <c r="D71" s="96"/>
      <c r="E71" s="96"/>
      <c r="F71" s="96"/>
      <c r="G71" s="96"/>
      <c r="H71" s="96"/>
    </row>
    <row r="72" spans="1:8">
      <c r="A72" s="95"/>
      <c r="B72" s="96"/>
      <c r="C72" s="96"/>
      <c r="D72" s="96"/>
      <c r="E72" s="96"/>
      <c r="F72" s="96"/>
      <c r="G72" s="96"/>
      <c r="H72" s="96"/>
    </row>
    <row r="73" spans="1:8">
      <c r="A73" s="95" t="str">
        <f>A47</f>
        <v>Chilli</v>
      </c>
      <c r="B73" s="96"/>
      <c r="C73" s="96"/>
      <c r="D73" s="96"/>
      <c r="E73" s="96"/>
      <c r="F73" s="96"/>
      <c r="G73" s="96"/>
      <c r="H73" s="96"/>
    </row>
    <row r="74" spans="1:8">
      <c r="A74" s="95"/>
      <c r="B74" s="96"/>
      <c r="C74" s="96"/>
      <c r="D74" s="96"/>
      <c r="E74" s="96"/>
      <c r="F74" s="96"/>
      <c r="G74" s="96"/>
      <c r="H74" s="96"/>
    </row>
    <row r="75" spans="1:8">
      <c r="A75" s="95" t="str">
        <f>A48</f>
        <v>Potato</v>
      </c>
      <c r="B75" s="96"/>
      <c r="C75" s="96"/>
      <c r="D75" s="96"/>
      <c r="E75" s="96"/>
      <c r="F75" s="96"/>
      <c r="G75" s="96"/>
      <c r="H75" s="96"/>
    </row>
    <row r="76" spans="1:8">
      <c r="A76" s="95"/>
      <c r="B76" s="96"/>
      <c r="C76" s="96"/>
      <c r="D76" s="96"/>
      <c r="E76" s="96"/>
      <c r="F76" s="96"/>
      <c r="G76" s="96"/>
      <c r="H76" s="96"/>
    </row>
    <row r="77" spans="1:8">
      <c r="A77" s="95">
        <f>A49</f>
        <v>0</v>
      </c>
      <c r="B77" s="96"/>
      <c r="C77" s="96"/>
      <c r="D77" s="96"/>
      <c r="E77" s="96"/>
      <c r="F77" s="96"/>
      <c r="G77" s="96"/>
      <c r="H77" s="96"/>
    </row>
    <row r="78" spans="1:8">
      <c r="A78" s="95"/>
      <c r="B78" s="96"/>
      <c r="C78" s="96"/>
      <c r="D78" s="96"/>
      <c r="E78" s="96"/>
      <c r="F78" s="96"/>
      <c r="G78" s="96"/>
      <c r="H78" s="96"/>
    </row>
    <row r="79" spans="1:8">
      <c r="A79" s="95">
        <f>A50</f>
        <v>0</v>
      </c>
      <c r="B79" s="96"/>
      <c r="C79" s="96"/>
      <c r="D79" s="96"/>
      <c r="E79" s="96"/>
      <c r="F79" s="96"/>
      <c r="G79" s="96"/>
      <c r="H79" s="96"/>
    </row>
    <row r="80" spans="1:8">
      <c r="A80" s="95"/>
      <c r="B80" s="96"/>
      <c r="C80" s="96"/>
      <c r="D80" s="96"/>
      <c r="E80" s="96"/>
      <c r="F80" s="96"/>
      <c r="G80" s="96"/>
      <c r="H80" s="96"/>
    </row>
    <row r="81" spans="1:8">
      <c r="A81" s="95">
        <f>A51</f>
        <v>0</v>
      </c>
      <c r="B81" s="96"/>
      <c r="C81" s="96"/>
      <c r="D81" s="96"/>
      <c r="E81" s="96"/>
      <c r="F81" s="96"/>
      <c r="G81" s="96"/>
      <c r="H81" s="96"/>
    </row>
    <row r="82" spans="1:8">
      <c r="A82" s="95"/>
      <c r="B82" s="96"/>
      <c r="C82" s="96"/>
      <c r="D82" s="96"/>
      <c r="E82" s="96"/>
      <c r="F82" s="96"/>
      <c r="G82" s="96"/>
      <c r="H82" s="96"/>
    </row>
    <row r="83" spans="1:8">
      <c r="A83" s="95">
        <f>A52</f>
        <v>0</v>
      </c>
      <c r="B83" s="96"/>
      <c r="C83" s="96"/>
      <c r="D83" s="96"/>
      <c r="E83" s="96"/>
      <c r="F83" s="96"/>
      <c r="G83" s="96"/>
      <c r="H83" s="96"/>
    </row>
    <row r="84" spans="1:8">
      <c r="A84" s="95"/>
      <c r="B84" s="96"/>
      <c r="C84" s="96"/>
      <c r="D84" s="96"/>
      <c r="E84" s="96"/>
      <c r="F84" s="96"/>
      <c r="G84" s="96"/>
      <c r="H84" s="96"/>
    </row>
    <row r="85" spans="1:8">
      <c r="A85" s="95" t="str">
        <f>A53</f>
        <v>Onion</v>
      </c>
      <c r="B85" s="96"/>
      <c r="C85" s="96"/>
      <c r="D85" s="96"/>
      <c r="E85" s="96"/>
      <c r="F85" s="96"/>
      <c r="G85" s="96"/>
      <c r="H85" s="96"/>
    </row>
    <row r="86" spans="1:8">
      <c r="A86" s="95"/>
      <c r="B86" s="96"/>
      <c r="C86" s="96"/>
      <c r="D86" s="96"/>
      <c r="E86" s="96"/>
      <c r="F86" s="96"/>
      <c r="G86" s="96"/>
      <c r="H86" s="96"/>
    </row>
    <row r="87" spans="1:8">
      <c r="A87" s="95" t="str">
        <f>A54</f>
        <v>Tomato</v>
      </c>
      <c r="B87" s="96"/>
      <c r="C87" s="96"/>
      <c r="D87" s="96"/>
      <c r="E87" s="96"/>
      <c r="F87" s="96"/>
      <c r="G87" s="96"/>
      <c r="H87" s="96"/>
    </row>
    <row r="88" spans="1:8">
      <c r="A88" s="95"/>
      <c r="B88" s="96"/>
      <c r="C88" s="96"/>
      <c r="D88" s="96"/>
      <c r="E88" s="96"/>
      <c r="F88" s="96"/>
      <c r="G88" s="96"/>
      <c r="H88" s="96"/>
    </row>
    <row r="89" spans="1:8">
      <c r="A89" s="95" t="str">
        <f>A55</f>
        <v>Okra</v>
      </c>
      <c r="B89" s="96"/>
      <c r="C89" s="96"/>
      <c r="D89" s="96"/>
      <c r="E89" s="96"/>
      <c r="F89" s="96"/>
      <c r="G89" s="96"/>
      <c r="H89" s="96"/>
    </row>
    <row r="90" spans="1:8">
      <c r="A90" s="95"/>
      <c r="B90" s="96"/>
      <c r="C90" s="96"/>
      <c r="D90" s="96"/>
      <c r="E90" s="96"/>
      <c r="F90" s="96"/>
      <c r="G90" s="96"/>
      <c r="H90" s="96"/>
    </row>
    <row r="91" spans="1:8">
      <c r="A91" s="95" t="str">
        <f>A56</f>
        <v>Chilli</v>
      </c>
      <c r="B91" s="96"/>
      <c r="C91" s="96"/>
      <c r="D91" s="96"/>
      <c r="E91" s="96"/>
      <c r="F91" s="96"/>
      <c r="G91" s="96"/>
      <c r="H91" s="96"/>
    </row>
    <row r="92" spans="1:8">
      <c r="A92" s="95"/>
      <c r="B92" s="96"/>
      <c r="C92" s="96"/>
      <c r="D92" s="96"/>
      <c r="E92" s="96"/>
      <c r="F92" s="96"/>
      <c r="G92" s="96"/>
      <c r="H92" s="96"/>
    </row>
    <row r="93" spans="1:8">
      <c r="A93" s="97" t="str">
        <f t="shared" ref="A93:A98" si="17">A57</f>
        <v>Brinjal</v>
      </c>
      <c r="B93" s="96"/>
      <c r="C93" s="96"/>
      <c r="D93" s="96"/>
      <c r="E93" s="96"/>
      <c r="F93" s="96"/>
      <c r="G93" s="96"/>
      <c r="H93" s="96"/>
    </row>
    <row r="94" spans="1:8">
      <c r="A94" s="95">
        <f t="shared" si="17"/>
        <v>0</v>
      </c>
      <c r="B94" s="96"/>
      <c r="C94" s="96"/>
      <c r="D94" s="96"/>
      <c r="E94" s="96"/>
      <c r="F94" s="96"/>
      <c r="G94" s="96"/>
      <c r="H94" s="96"/>
    </row>
    <row r="95" spans="1:8">
      <c r="A95" s="95">
        <f t="shared" si="17"/>
        <v>0</v>
      </c>
      <c r="B95" s="96"/>
      <c r="C95" s="96"/>
      <c r="D95" s="96"/>
      <c r="E95" s="96"/>
      <c r="F95" s="96"/>
      <c r="G95" s="96"/>
      <c r="H95" s="96"/>
    </row>
    <row r="96" spans="1:8">
      <c r="A96" s="95">
        <f t="shared" si="17"/>
        <v>0</v>
      </c>
      <c r="B96" s="96"/>
      <c r="C96" s="96"/>
      <c r="D96" s="96"/>
      <c r="E96" s="96"/>
      <c r="F96" s="96"/>
      <c r="G96" s="96"/>
      <c r="H96" s="96"/>
    </row>
    <row r="97" spans="1:8">
      <c r="A97" s="95">
        <f t="shared" si="17"/>
        <v>0</v>
      </c>
      <c r="B97" s="96"/>
      <c r="C97" s="96"/>
      <c r="D97" s="96"/>
      <c r="E97" s="96"/>
      <c r="F97" s="96"/>
      <c r="G97" s="96"/>
      <c r="H97" s="96"/>
    </row>
    <row r="98" spans="1:8">
      <c r="A98" s="97" t="str">
        <f t="shared" si="17"/>
        <v>Pomegranate</v>
      </c>
      <c r="B98" s="96"/>
      <c r="C98" s="96"/>
      <c r="D98" s="96"/>
      <c r="E98" s="96"/>
      <c r="F98" s="96"/>
      <c r="G98" s="96"/>
      <c r="H98" s="96"/>
    </row>
    <row r="99" spans="1:8">
      <c r="A99" s="95" t="s">
        <v>541</v>
      </c>
      <c r="B99" s="96">
        <f>(B$62*50%)*0.7</f>
        <v>0</v>
      </c>
      <c r="C99" s="96">
        <f>(C$62*50%)*0.7</f>
        <v>0</v>
      </c>
      <c r="D99" s="96">
        <f t="shared" ref="D99:H101" si="18">(D$62*50%)*0.7</f>
        <v>0</v>
      </c>
      <c r="E99" s="96">
        <f t="shared" si="18"/>
        <v>0</v>
      </c>
      <c r="F99" s="96">
        <f t="shared" si="18"/>
        <v>0</v>
      </c>
      <c r="G99" s="96">
        <f t="shared" si="18"/>
        <v>0</v>
      </c>
      <c r="H99" s="96">
        <f t="shared" si="18"/>
        <v>0</v>
      </c>
    </row>
    <row r="100" spans="1:8">
      <c r="A100" s="95" t="s">
        <v>539</v>
      </c>
      <c r="B100" s="96">
        <f>(B$62*50%)*0.7*2</f>
        <v>0</v>
      </c>
      <c r="C100" s="96">
        <f>(C$62*50%)*0.7</f>
        <v>0</v>
      </c>
      <c r="D100" s="96">
        <f t="shared" si="18"/>
        <v>0</v>
      </c>
      <c r="E100" s="96">
        <f t="shared" si="18"/>
        <v>0</v>
      </c>
      <c r="F100" s="96">
        <f t="shared" si="18"/>
        <v>0</v>
      </c>
      <c r="G100" s="96">
        <f t="shared" si="18"/>
        <v>0</v>
      </c>
      <c r="H100" s="96">
        <f t="shared" si="18"/>
        <v>0</v>
      </c>
    </row>
    <row r="101" spans="1:8">
      <c r="A101" s="95" t="s">
        <v>540</v>
      </c>
      <c r="B101" s="96">
        <f>(B$62*0.3)*0.2</f>
        <v>0</v>
      </c>
      <c r="C101" s="96">
        <f>(C$62*50%)*0.7</f>
        <v>0</v>
      </c>
      <c r="D101" s="96">
        <f t="shared" si="18"/>
        <v>0</v>
      </c>
      <c r="E101" s="96">
        <f t="shared" si="18"/>
        <v>0</v>
      </c>
      <c r="F101" s="96">
        <f t="shared" si="18"/>
        <v>0</v>
      </c>
      <c r="G101" s="96">
        <f t="shared" si="18"/>
        <v>0</v>
      </c>
      <c r="H101" s="96">
        <f t="shared" si="18"/>
        <v>0</v>
      </c>
    </row>
    <row r="102" spans="1:8">
      <c r="A102" s="95" t="str">
        <f>A63</f>
        <v>Custard Apple</v>
      </c>
      <c r="B102" s="96"/>
      <c r="C102" s="96"/>
      <c r="D102" s="96"/>
      <c r="E102" s="96"/>
      <c r="F102" s="96"/>
      <c r="G102" s="96"/>
      <c r="H102" s="96"/>
    </row>
    <row r="103" spans="1:8">
      <c r="A103" s="95"/>
      <c r="B103" s="96"/>
      <c r="C103" s="96"/>
      <c r="D103" s="96"/>
      <c r="E103" s="96"/>
      <c r="F103" s="96"/>
      <c r="G103" s="96"/>
      <c r="H103" s="96"/>
    </row>
    <row r="104" spans="1:8">
      <c r="A104" s="95" t="str">
        <f>A64</f>
        <v>Guava</v>
      </c>
      <c r="B104" s="96"/>
      <c r="C104" s="96"/>
      <c r="D104" s="96"/>
      <c r="E104" s="96"/>
      <c r="F104" s="96"/>
      <c r="G104" s="96"/>
      <c r="H104" s="96"/>
    </row>
    <row r="105" spans="1:8">
      <c r="A105" s="95"/>
      <c r="B105" s="96"/>
      <c r="C105" s="96"/>
      <c r="D105" s="96"/>
      <c r="E105" s="96"/>
      <c r="F105" s="96"/>
      <c r="G105" s="96"/>
      <c r="H105" s="96"/>
    </row>
    <row r="106" spans="1:8">
      <c r="A106" s="95" t="str">
        <f>A65</f>
        <v>Citrus</v>
      </c>
      <c r="B106" s="96"/>
      <c r="C106" s="96"/>
      <c r="D106" s="96"/>
      <c r="E106" s="96"/>
      <c r="F106" s="96"/>
      <c r="G106" s="96"/>
      <c r="H106" s="96"/>
    </row>
    <row r="107" spans="1:8">
      <c r="A107" s="95"/>
      <c r="B107" s="96"/>
      <c r="C107" s="96"/>
      <c r="D107" s="96"/>
      <c r="E107" s="96"/>
      <c r="F107" s="96"/>
      <c r="G107" s="96"/>
      <c r="H107" s="96"/>
    </row>
    <row r="108" spans="1:8">
      <c r="A108" s="176"/>
      <c r="B108" s="295"/>
      <c r="C108" s="295"/>
      <c r="D108" s="295"/>
      <c r="E108" s="295"/>
      <c r="F108" s="295"/>
      <c r="G108" s="295"/>
      <c r="H108" s="295"/>
    </row>
    <row r="109" spans="1:8">
      <c r="A109" s="177" t="s">
        <v>463</v>
      </c>
    </row>
    <row r="110" spans="1:8">
      <c r="A110" t="s">
        <v>544</v>
      </c>
      <c r="B110" s="29">
        <f t="shared" ref="B110:H112" si="19">(B99*100)</f>
        <v>0</v>
      </c>
      <c r="C110" s="29">
        <f t="shared" si="19"/>
        <v>0</v>
      </c>
      <c r="D110" s="29">
        <f t="shared" si="19"/>
        <v>0</v>
      </c>
      <c r="E110" s="29">
        <f t="shared" si="19"/>
        <v>0</v>
      </c>
      <c r="F110" s="29">
        <f t="shared" si="19"/>
        <v>0</v>
      </c>
      <c r="G110" s="29">
        <f t="shared" si="19"/>
        <v>0</v>
      </c>
      <c r="H110" s="29">
        <f t="shared" si="19"/>
        <v>0</v>
      </c>
    </row>
    <row r="111" spans="1:8">
      <c r="A111" t="s">
        <v>545</v>
      </c>
      <c r="B111" s="29">
        <f t="shared" si="19"/>
        <v>0</v>
      </c>
      <c r="C111" s="29">
        <f t="shared" si="19"/>
        <v>0</v>
      </c>
      <c r="D111" s="29">
        <f t="shared" si="19"/>
        <v>0</v>
      </c>
      <c r="E111" s="29">
        <f t="shared" si="19"/>
        <v>0</v>
      </c>
      <c r="F111" s="29">
        <f t="shared" si="19"/>
        <v>0</v>
      </c>
      <c r="G111" s="29">
        <f t="shared" si="19"/>
        <v>0</v>
      </c>
      <c r="H111" s="29">
        <f t="shared" si="19"/>
        <v>0</v>
      </c>
    </row>
    <row r="112" spans="1:8">
      <c r="A112" t="s">
        <v>546</v>
      </c>
      <c r="B112" s="29">
        <f t="shared" si="19"/>
        <v>0</v>
      </c>
      <c r="C112" s="29">
        <f t="shared" si="19"/>
        <v>0</v>
      </c>
      <c r="D112" s="29">
        <f t="shared" si="19"/>
        <v>0</v>
      </c>
      <c r="E112" s="29">
        <f t="shared" si="19"/>
        <v>0</v>
      </c>
      <c r="F112" s="29">
        <f t="shared" si="19"/>
        <v>0</v>
      </c>
      <c r="G112" s="29">
        <f t="shared" si="19"/>
        <v>0</v>
      </c>
      <c r="H112" s="29">
        <f t="shared" si="19"/>
        <v>0</v>
      </c>
    </row>
    <row r="114" spans="1:10">
      <c r="B114" s="29"/>
      <c r="C114" s="29"/>
    </row>
    <row r="115" spans="1:10">
      <c r="B115" s="29"/>
      <c r="C115" s="29"/>
      <c r="D115" s="29"/>
    </row>
    <row r="116" spans="1:10" ht="18.75">
      <c r="A116" s="438" t="s">
        <v>618</v>
      </c>
      <c r="B116" s="438"/>
      <c r="C116" s="438"/>
      <c r="D116" s="438"/>
      <c r="E116" s="438"/>
      <c r="F116" s="438"/>
      <c r="G116" s="438"/>
      <c r="H116" s="438"/>
      <c r="I116" s="438"/>
      <c r="J116" s="438"/>
    </row>
    <row r="117" spans="1:10">
      <c r="A117" s="307"/>
      <c r="B117" s="307"/>
      <c r="C117" s="307"/>
      <c r="D117" s="307"/>
      <c r="E117" s="307"/>
      <c r="F117" s="307"/>
      <c r="G117" s="307"/>
      <c r="H117" s="307"/>
    </row>
    <row r="118" spans="1:10">
      <c r="A118" s="310"/>
      <c r="B118" s="310"/>
      <c r="C118" s="310"/>
      <c r="D118" s="183">
        <v>1</v>
      </c>
      <c r="E118" s="184">
        <f>(D118*5%)+D118</f>
        <v>1.05</v>
      </c>
      <c r="F118" s="184">
        <f t="shared" ref="F118:J118" si="20">(E118*5%)+E118</f>
        <v>1.1025</v>
      </c>
      <c r="G118" s="184">
        <f t="shared" si="20"/>
        <v>1.1576250000000001</v>
      </c>
      <c r="H118" s="184">
        <f t="shared" si="20"/>
        <v>1.2155062500000002</v>
      </c>
      <c r="I118" s="184">
        <f t="shared" si="20"/>
        <v>1.2762815625000004</v>
      </c>
      <c r="J118" s="184">
        <f t="shared" si="20"/>
        <v>1.3400956406250004</v>
      </c>
    </row>
    <row r="119" spans="1:10">
      <c r="A119" s="94"/>
      <c r="B119" s="94"/>
      <c r="C119" s="94"/>
      <c r="D119" s="94"/>
      <c r="E119" s="94"/>
      <c r="F119" s="94"/>
      <c r="G119" s="94"/>
      <c r="H119" s="94"/>
      <c r="I119" s="94"/>
      <c r="J119" s="94"/>
    </row>
    <row r="120" spans="1:10">
      <c r="A120" s="148" t="s">
        <v>0</v>
      </c>
      <c r="B120" s="148" t="s">
        <v>133</v>
      </c>
      <c r="C120" s="148" t="s">
        <v>154</v>
      </c>
      <c r="D120" s="120" t="s">
        <v>2</v>
      </c>
      <c r="E120" s="120" t="s">
        <v>3</v>
      </c>
      <c r="F120" s="120" t="s">
        <v>4</v>
      </c>
      <c r="G120" s="120" t="s">
        <v>5</v>
      </c>
      <c r="H120" s="120" t="s">
        <v>6</v>
      </c>
      <c r="I120" s="120" t="s">
        <v>171</v>
      </c>
      <c r="J120" s="120" t="s">
        <v>170</v>
      </c>
    </row>
    <row r="121" spans="1:10">
      <c r="A121" s="95"/>
      <c r="B121" s="95"/>
      <c r="C121" s="95"/>
      <c r="D121" s="95"/>
      <c r="E121" s="95"/>
      <c r="F121" s="95"/>
      <c r="G121" s="95"/>
      <c r="H121" s="95"/>
      <c r="I121" s="95"/>
      <c r="J121" s="95"/>
    </row>
    <row r="122" spans="1:10">
      <c r="A122" s="97" t="s">
        <v>127</v>
      </c>
      <c r="B122" s="97"/>
      <c r="C122" s="97"/>
      <c r="D122" s="114"/>
      <c r="E122" s="114"/>
      <c r="F122" s="114"/>
      <c r="G122" s="114"/>
      <c r="H122" s="114"/>
      <c r="I122" s="95"/>
      <c r="J122" s="95"/>
    </row>
    <row r="123" spans="1:10">
      <c r="A123" s="95" t="str">
        <f>A99</f>
        <v>Pomegranate Arils</v>
      </c>
      <c r="B123" s="223" t="s">
        <v>543</v>
      </c>
      <c r="C123" s="223">
        <v>150</v>
      </c>
      <c r="D123" s="96">
        <f>(B110*(1-'5.Closing Stock &amp; W Capital'!$D$18)*$C123*D$118)</f>
        <v>0</v>
      </c>
      <c r="E123" s="96">
        <f>(((C110*(1-'5.Closing Stock &amp; W Capital'!$D$18))+(B110*'5.Closing Stock &amp; W Capital'!$D$18))*$C123*E$118)</f>
        <v>0</v>
      </c>
      <c r="F123" s="96">
        <f>(((D110*(1-'5.Closing Stock &amp; W Capital'!$D$18))+(C110*'5.Closing Stock &amp; W Capital'!$D$18))*$C123*F$118)</f>
        <v>0</v>
      </c>
      <c r="G123" s="96">
        <f>(((E110*(1-'5.Closing Stock &amp; W Capital'!$D$18))+(D110*'5.Closing Stock &amp; W Capital'!$D$18))*$C123*G$118)</f>
        <v>0</v>
      </c>
      <c r="H123" s="96">
        <f>(((F110*(1-'5.Closing Stock &amp; W Capital'!$D$18))+(E110*'5.Closing Stock &amp; W Capital'!$D$18))*$C123*H$118)</f>
        <v>0</v>
      </c>
      <c r="I123" s="96">
        <f>(((G110*(1-'5.Closing Stock &amp; W Capital'!$D$18))+(F110*'5.Closing Stock &amp; W Capital'!$D$18))*$C123*I$118)</f>
        <v>0</v>
      </c>
      <c r="J123" s="96">
        <f>(((H110*(1-'5.Closing Stock &amp; W Capital'!$D$18))+(G110*'5.Closing Stock &amp; W Capital'!$D$18))*$C123*J$118)</f>
        <v>0</v>
      </c>
    </row>
    <row r="124" spans="1:10">
      <c r="A124" s="95" t="str">
        <f>A100</f>
        <v>Pomegranate Juice</v>
      </c>
      <c r="B124" s="223" t="s">
        <v>542</v>
      </c>
      <c r="C124" s="223">
        <v>40</v>
      </c>
      <c r="D124" s="96">
        <f>(B111*(1-'5.Closing Stock &amp; W Capital'!$D$18)*$C124*D$118)</f>
        <v>0</v>
      </c>
      <c r="E124" s="96">
        <f>(((C111*(1-'5.Closing Stock &amp; W Capital'!$D$18))+(B111*'5.Closing Stock &amp; W Capital'!$D$18))*$C124*E$118)</f>
        <v>0</v>
      </c>
      <c r="F124" s="96">
        <f>(((D111*(1-'5.Closing Stock &amp; W Capital'!$D$18))+(C111*'5.Closing Stock &amp; W Capital'!$D$18))*$C124*F$118)</f>
        <v>0</v>
      </c>
      <c r="G124" s="96">
        <f>(((E111*(1-'5.Closing Stock &amp; W Capital'!$D$18))+(D111*'5.Closing Stock &amp; W Capital'!$D$18))*$C124*G$118)</f>
        <v>0</v>
      </c>
      <c r="H124" s="96">
        <f>(((F111*(1-'5.Closing Stock &amp; W Capital'!$D$18))+(E111*'5.Closing Stock &amp; W Capital'!$D$18))*$C124*H$118)</f>
        <v>0</v>
      </c>
      <c r="I124" s="96">
        <f>(((G111*(1-'5.Closing Stock &amp; W Capital'!$D$18))+(F111*'5.Closing Stock &amp; W Capital'!$D$18))*$C124*I$118)</f>
        <v>0</v>
      </c>
      <c r="J124" s="96">
        <f>(((H111*(1-'5.Closing Stock &amp; W Capital'!$D$18))+(G111*'5.Closing Stock &amp; W Capital'!$D$18))*$C124*J$118)</f>
        <v>0</v>
      </c>
    </row>
    <row r="125" spans="1:10">
      <c r="A125" s="95" t="str">
        <f>A101</f>
        <v>Pomegranate Powder</v>
      </c>
      <c r="B125" s="223" t="s">
        <v>368</v>
      </c>
      <c r="C125" s="223">
        <v>50</v>
      </c>
      <c r="D125" s="96">
        <f>(B112*(1-'5.Closing Stock &amp; W Capital'!$D$18)*$C125*D$118)</f>
        <v>0</v>
      </c>
      <c r="E125" s="96">
        <f>(((C112*(1-'5.Closing Stock &amp; W Capital'!$D$18))+(B112*'5.Closing Stock &amp; W Capital'!$D$18))*$C125*E$118)</f>
        <v>0</v>
      </c>
      <c r="F125" s="96">
        <f>(((D112*(1-'5.Closing Stock &amp; W Capital'!$D$18))+(C112*'5.Closing Stock &amp; W Capital'!$D$18))*$C125*F$118)</f>
        <v>0</v>
      </c>
      <c r="G125" s="96">
        <f>(((E112*(1-'5.Closing Stock &amp; W Capital'!$D$18))+(D112*'5.Closing Stock &amp; W Capital'!$D$18))*$C125*G$118)</f>
        <v>0</v>
      </c>
      <c r="H125" s="96">
        <f>(((F112*(1-'5.Closing Stock &amp; W Capital'!$D$18))+(E112*'5.Closing Stock &amp; W Capital'!$D$18))*$C125*H$118)</f>
        <v>0</v>
      </c>
      <c r="I125" s="96">
        <f>(((G112*(1-'5.Closing Stock &amp; W Capital'!$D$18))+(F112*'5.Closing Stock &amp; W Capital'!$D$18))*$C125*I$118)</f>
        <v>0</v>
      </c>
      <c r="J125" s="96">
        <f>(((H112*(1-'5.Closing Stock &amp; W Capital'!$D$18))+(G112*'5.Closing Stock &amp; W Capital'!$D$18))*$C125*J$118)</f>
        <v>0</v>
      </c>
    </row>
    <row r="126" spans="1:10">
      <c r="A126" s="95"/>
      <c r="B126" s="223"/>
      <c r="C126" s="223"/>
      <c r="D126" s="96"/>
      <c r="E126" s="96"/>
      <c r="F126" s="96"/>
      <c r="G126" s="96"/>
      <c r="H126" s="96"/>
      <c r="I126" s="96"/>
      <c r="J126" s="96"/>
    </row>
    <row r="127" spans="1:10">
      <c r="A127" s="95"/>
      <c r="B127" s="95"/>
      <c r="C127" s="95"/>
      <c r="D127" s="96"/>
      <c r="E127" s="96"/>
      <c r="F127" s="96"/>
      <c r="G127" s="96"/>
      <c r="H127" s="96"/>
      <c r="I127" s="96"/>
      <c r="J127" s="96"/>
    </row>
    <row r="128" spans="1:10">
      <c r="A128" s="97" t="s">
        <v>127</v>
      </c>
      <c r="B128" s="97"/>
      <c r="C128" s="97"/>
      <c r="D128" s="115">
        <f t="shared" ref="D128:J128" si="21">SUM(D123:D126)</f>
        <v>0</v>
      </c>
      <c r="E128" s="115">
        <f t="shared" si="21"/>
        <v>0</v>
      </c>
      <c r="F128" s="115">
        <f t="shared" si="21"/>
        <v>0</v>
      </c>
      <c r="G128" s="115">
        <f t="shared" si="21"/>
        <v>0</v>
      </c>
      <c r="H128" s="115">
        <f t="shared" si="21"/>
        <v>0</v>
      </c>
      <c r="I128" s="115">
        <f t="shared" si="21"/>
        <v>0</v>
      </c>
      <c r="J128" s="115">
        <f t="shared" si="21"/>
        <v>0</v>
      </c>
    </row>
    <row r="129" spans="1:10">
      <c r="A129" s="95"/>
      <c r="B129" s="95"/>
      <c r="C129" s="95"/>
      <c r="D129" s="96"/>
      <c r="E129" s="96"/>
      <c r="F129" s="96"/>
      <c r="G129" s="96"/>
      <c r="H129" s="96"/>
      <c r="I129" s="96"/>
      <c r="J129" s="96"/>
    </row>
    <row r="130" spans="1:10">
      <c r="A130" s="97" t="s">
        <v>143</v>
      </c>
      <c r="B130" s="97"/>
      <c r="C130" s="97"/>
      <c r="D130" s="96"/>
      <c r="E130" s="96"/>
      <c r="F130" s="96"/>
      <c r="G130" s="96"/>
      <c r="H130" s="96"/>
      <c r="I130" s="96"/>
      <c r="J130" s="96"/>
    </row>
    <row r="131" spans="1:10">
      <c r="A131" s="97" t="s">
        <v>315</v>
      </c>
      <c r="B131" s="97"/>
      <c r="C131" s="95"/>
      <c r="D131" s="96"/>
      <c r="E131" s="96"/>
      <c r="F131" s="96"/>
      <c r="G131" s="96"/>
      <c r="H131" s="96"/>
      <c r="I131" s="96"/>
      <c r="J131" s="96"/>
    </row>
    <row r="132" spans="1:10">
      <c r="A132" s="99" t="s">
        <v>547</v>
      </c>
      <c r="B132" s="223" t="s">
        <v>369</v>
      </c>
      <c r="C132" s="243">
        <v>6000</v>
      </c>
      <c r="D132" s="96">
        <f t="shared" ref="D132:J132" si="22">B62*$C132*D$118</f>
        <v>0</v>
      </c>
      <c r="E132" s="96">
        <f t="shared" si="22"/>
        <v>0</v>
      </c>
      <c r="F132" s="96">
        <f t="shared" si="22"/>
        <v>0</v>
      </c>
      <c r="G132" s="96">
        <f t="shared" si="22"/>
        <v>0</v>
      </c>
      <c r="H132" s="96">
        <f t="shared" si="22"/>
        <v>0</v>
      </c>
      <c r="I132" s="96">
        <f t="shared" si="22"/>
        <v>0</v>
      </c>
      <c r="J132" s="96">
        <f t="shared" si="22"/>
        <v>0</v>
      </c>
    </row>
    <row r="133" spans="1:10">
      <c r="A133" s="95" t="s">
        <v>548</v>
      </c>
      <c r="B133" s="223" t="s">
        <v>369</v>
      </c>
      <c r="C133" s="223">
        <v>2000</v>
      </c>
      <c r="D133" s="96">
        <f t="shared" ref="D133:J133" si="23">(B62*10%)*$C133*D$118</f>
        <v>0</v>
      </c>
      <c r="E133" s="96">
        <f t="shared" si="23"/>
        <v>0</v>
      </c>
      <c r="F133" s="96">
        <f t="shared" si="23"/>
        <v>0</v>
      </c>
      <c r="G133" s="96">
        <f t="shared" si="23"/>
        <v>0</v>
      </c>
      <c r="H133" s="96">
        <f t="shared" si="23"/>
        <v>0</v>
      </c>
      <c r="I133" s="96">
        <f t="shared" si="23"/>
        <v>0</v>
      </c>
      <c r="J133" s="96">
        <f t="shared" si="23"/>
        <v>0</v>
      </c>
    </row>
    <row r="134" spans="1:10">
      <c r="A134" s="95" t="s">
        <v>325</v>
      </c>
      <c r="B134" s="223">
        <v>5</v>
      </c>
      <c r="C134" s="223">
        <v>300</v>
      </c>
      <c r="D134" s="96">
        <f t="shared" ref="D134:J134" si="24">B12*$B$134*$C$134*D118</f>
        <v>0</v>
      </c>
      <c r="E134" s="96">
        <f t="shared" si="24"/>
        <v>0</v>
      </c>
      <c r="F134" s="96">
        <f t="shared" si="24"/>
        <v>0</v>
      </c>
      <c r="G134" s="96">
        <f t="shared" si="24"/>
        <v>0</v>
      </c>
      <c r="H134" s="96">
        <f t="shared" si="24"/>
        <v>0</v>
      </c>
      <c r="I134" s="96">
        <f t="shared" si="24"/>
        <v>0</v>
      </c>
      <c r="J134" s="96">
        <f t="shared" si="24"/>
        <v>0</v>
      </c>
    </row>
    <row r="135" spans="1:10">
      <c r="A135" s="95" t="s">
        <v>145</v>
      </c>
      <c r="B135" s="95">
        <f>'2.Capex Details'!H50*0.746*8</f>
        <v>0</v>
      </c>
      <c r="C135" s="223">
        <v>8</v>
      </c>
      <c r="D135" s="96">
        <f t="shared" ref="D135:J135" si="25">$B$135*$C$135*B12*D118</f>
        <v>0</v>
      </c>
      <c r="E135" s="96">
        <f t="shared" si="25"/>
        <v>0</v>
      </c>
      <c r="F135" s="96">
        <f t="shared" si="25"/>
        <v>0</v>
      </c>
      <c r="G135" s="96">
        <f t="shared" si="25"/>
        <v>0</v>
      </c>
      <c r="H135" s="96">
        <f t="shared" si="25"/>
        <v>0</v>
      </c>
      <c r="I135" s="96">
        <f t="shared" si="25"/>
        <v>0</v>
      </c>
      <c r="J135" s="96">
        <f t="shared" si="25"/>
        <v>0</v>
      </c>
    </row>
    <row r="136" spans="1:10">
      <c r="A136" s="95" t="s">
        <v>298</v>
      </c>
      <c r="B136" s="95" t="s">
        <v>369</v>
      </c>
      <c r="C136" s="223">
        <v>10</v>
      </c>
      <c r="D136" s="96">
        <f t="shared" ref="D136:J136" si="26">B62*$C136*D$118</f>
        <v>0</v>
      </c>
      <c r="E136" s="96">
        <f t="shared" si="26"/>
        <v>0</v>
      </c>
      <c r="F136" s="96">
        <f t="shared" si="26"/>
        <v>0</v>
      </c>
      <c r="G136" s="96">
        <f t="shared" si="26"/>
        <v>0</v>
      </c>
      <c r="H136" s="96">
        <f t="shared" si="26"/>
        <v>0</v>
      </c>
      <c r="I136" s="96">
        <f t="shared" si="26"/>
        <v>0</v>
      </c>
      <c r="J136" s="96">
        <f t="shared" si="26"/>
        <v>0</v>
      </c>
    </row>
    <row r="137" spans="1:10">
      <c r="A137" s="109" t="s">
        <v>299</v>
      </c>
      <c r="B137" s="109"/>
      <c r="C137" s="245">
        <v>2</v>
      </c>
      <c r="D137" s="96">
        <f>SUM(B110:B112)*$C$137*D$118</f>
        <v>0</v>
      </c>
      <c r="E137" s="96">
        <f t="shared" ref="E137:J137" si="27">SUM(C110:C112)*$C$137*E$118</f>
        <v>0</v>
      </c>
      <c r="F137" s="96">
        <f t="shared" si="27"/>
        <v>0</v>
      </c>
      <c r="G137" s="96">
        <f t="shared" si="27"/>
        <v>0</v>
      </c>
      <c r="H137" s="96">
        <f t="shared" si="27"/>
        <v>0</v>
      </c>
      <c r="I137" s="96">
        <f t="shared" si="27"/>
        <v>0</v>
      </c>
      <c r="J137" s="96">
        <f t="shared" si="27"/>
        <v>0</v>
      </c>
    </row>
    <row r="138" spans="1:10">
      <c r="A138" s="95" t="s">
        <v>300</v>
      </c>
      <c r="B138" s="95"/>
      <c r="C138" s="223">
        <v>1</v>
      </c>
      <c r="D138" s="96">
        <f>SUM(B110:B112)*$C$138*D$118</f>
        <v>0</v>
      </c>
      <c r="E138" s="96">
        <f t="shared" ref="E138:J138" si="28">SUM(C110:C112)*$C$138*E$118</f>
        <v>0</v>
      </c>
      <c r="F138" s="96">
        <f t="shared" si="28"/>
        <v>0</v>
      </c>
      <c r="G138" s="96">
        <f t="shared" si="28"/>
        <v>0</v>
      </c>
      <c r="H138" s="96">
        <f t="shared" si="28"/>
        <v>0</v>
      </c>
      <c r="I138" s="96">
        <f t="shared" si="28"/>
        <v>0</v>
      </c>
      <c r="J138" s="96">
        <f t="shared" si="28"/>
        <v>0</v>
      </c>
    </row>
    <row r="139" spans="1:10">
      <c r="A139" s="10"/>
      <c r="B139" s="10"/>
      <c r="C139" s="10"/>
      <c r="D139" s="10"/>
      <c r="E139" s="10"/>
      <c r="F139" s="10"/>
      <c r="G139" s="10"/>
      <c r="H139" s="10"/>
      <c r="I139" s="10"/>
      <c r="J139" s="10"/>
    </row>
    <row r="140" spans="1:10">
      <c r="A140" s="10"/>
      <c r="B140" s="10"/>
      <c r="C140" s="10"/>
      <c r="D140" s="10"/>
      <c r="E140" s="10"/>
      <c r="F140" s="10"/>
      <c r="G140" s="10"/>
      <c r="H140" s="10"/>
      <c r="I140" s="10"/>
      <c r="J140" s="10"/>
    </row>
    <row r="141" spans="1:10">
      <c r="A141" s="10"/>
      <c r="B141" s="10"/>
      <c r="C141" s="10"/>
      <c r="D141" s="10"/>
      <c r="E141" s="10"/>
      <c r="F141" s="10"/>
      <c r="G141" s="10"/>
      <c r="H141" s="10"/>
      <c r="I141" s="10"/>
      <c r="J141" s="10"/>
    </row>
    <row r="142" spans="1:10">
      <c r="A142" s="10"/>
      <c r="B142" s="10"/>
      <c r="C142" s="10"/>
      <c r="D142" s="10"/>
      <c r="E142" s="10"/>
      <c r="F142" s="10"/>
      <c r="G142" s="10"/>
      <c r="H142" s="10"/>
      <c r="I142" s="10"/>
      <c r="J142" s="10"/>
    </row>
    <row r="143" spans="1:10">
      <c r="A143" s="185" t="s">
        <v>348</v>
      </c>
      <c r="B143" s="96"/>
      <c r="C143" s="96"/>
      <c r="D143" s="96"/>
      <c r="E143" s="96">
        <f>'5.Closing Stock &amp; W Capital'!F8</f>
        <v>40353.19200000001</v>
      </c>
      <c r="F143" s="96">
        <f>'5.Closing Stock &amp; W Capital'!G8</f>
        <v>63556.277400000021</v>
      </c>
      <c r="G143" s="96">
        <f>'5.Closing Stock &amp; W Capital'!H8</f>
        <v>88978.788360000006</v>
      </c>
      <c r="H143" s="96">
        <f>'5.Closing Stock &amp; W Capital'!I8</f>
        <v>116784.65972250002</v>
      </c>
      <c r="I143" s="96">
        <f>'5.Closing Stock &amp; W Capital'!J8</f>
        <v>147148.67125035005</v>
      </c>
      <c r="J143" s="96">
        <f>'5.Closing Stock &amp; W Capital'!K8</f>
        <v>180257.12228167884</v>
      </c>
    </row>
    <row r="144" spans="1:10">
      <c r="A144" s="185" t="s">
        <v>349</v>
      </c>
      <c r="B144" s="96"/>
      <c r="C144" s="96"/>
      <c r="D144" s="96">
        <f>'5.Closing Stock &amp; W Capital'!E17</f>
        <v>40353.19200000001</v>
      </c>
      <c r="E144" s="96">
        <f>'5.Closing Stock &amp; W Capital'!F17</f>
        <v>63556.277400000021</v>
      </c>
      <c r="F144" s="96">
        <f>'5.Closing Stock &amp; W Capital'!G17</f>
        <v>88978.788360000006</v>
      </c>
      <c r="G144" s="96">
        <f>'5.Closing Stock &amp; W Capital'!H17</f>
        <v>116784.65972250002</v>
      </c>
      <c r="H144" s="96">
        <f>'5.Closing Stock &amp; W Capital'!I17</f>
        <v>147148.67125035005</v>
      </c>
      <c r="I144" s="96">
        <f>'5.Closing Stock &amp; W Capital'!J17</f>
        <v>180257.12228167884</v>
      </c>
      <c r="J144" s="96">
        <f>'5.Closing Stock &amp; W Capital'!K17</f>
        <v>216308.54673801456</v>
      </c>
    </row>
    <row r="145" spans="1:10">
      <c r="A145" s="96"/>
      <c r="B145" s="96"/>
      <c r="C145" s="96"/>
      <c r="D145" s="96"/>
      <c r="E145" s="96"/>
      <c r="F145" s="96"/>
      <c r="G145" s="96"/>
      <c r="H145" s="96"/>
      <c r="I145" s="96"/>
      <c r="J145" s="96"/>
    </row>
    <row r="146" spans="1:10">
      <c r="A146" s="115" t="s">
        <v>326</v>
      </c>
      <c r="B146" s="96"/>
      <c r="C146" s="96"/>
      <c r="D146" s="115">
        <f t="shared" ref="D146:J146" si="29">SUM(D132:D143)-D144</f>
        <v>-40353.19200000001</v>
      </c>
      <c r="E146" s="115">
        <f t="shared" si="29"/>
        <v>-23203.085400000011</v>
      </c>
      <c r="F146" s="115">
        <f t="shared" si="29"/>
        <v>-25422.510959999985</v>
      </c>
      <c r="G146" s="115">
        <f t="shared" si="29"/>
        <v>-27805.871362500009</v>
      </c>
      <c r="H146" s="115">
        <f t="shared" si="29"/>
        <v>-30364.011527850031</v>
      </c>
      <c r="I146" s="115">
        <f t="shared" si="29"/>
        <v>-33108.45103132879</v>
      </c>
      <c r="J146" s="115">
        <f t="shared" si="29"/>
        <v>-36051.424456335721</v>
      </c>
    </row>
    <row r="147" spans="1:10">
      <c r="A147" s="94"/>
      <c r="B147" s="94"/>
      <c r="C147" s="94"/>
      <c r="D147" s="94"/>
      <c r="E147" s="94"/>
      <c r="F147" s="94"/>
      <c r="G147" s="94"/>
      <c r="H147" s="94"/>
      <c r="I147" s="94"/>
      <c r="J147" s="94"/>
    </row>
    <row r="148" spans="1:10">
      <c r="A148" s="186" t="s">
        <v>313</v>
      </c>
      <c r="B148" s="186"/>
      <c r="C148" s="186"/>
      <c r="D148" s="115"/>
      <c r="E148" s="115"/>
      <c r="F148" s="115"/>
      <c r="G148" s="115"/>
      <c r="H148" s="115"/>
      <c r="I148" s="115"/>
      <c r="J148" s="115"/>
    </row>
    <row r="149" spans="1:10">
      <c r="A149" s="95" t="s">
        <v>190</v>
      </c>
      <c r="B149" s="223">
        <v>1</v>
      </c>
      <c r="C149" s="243">
        <v>5500</v>
      </c>
      <c r="D149" s="96">
        <f t="shared" ref="D149:J149" si="30">$B$149*$C$149*12*D118</f>
        <v>66000</v>
      </c>
      <c r="E149" s="96">
        <f t="shared" si="30"/>
        <v>69300</v>
      </c>
      <c r="F149" s="96">
        <f t="shared" si="30"/>
        <v>72765</v>
      </c>
      <c r="G149" s="96">
        <f t="shared" si="30"/>
        <v>76403.250000000015</v>
      </c>
      <c r="H149" s="96">
        <f t="shared" si="30"/>
        <v>80223.41250000002</v>
      </c>
      <c r="I149" s="96">
        <f t="shared" si="30"/>
        <v>84234.583125000019</v>
      </c>
      <c r="J149" s="96">
        <f t="shared" si="30"/>
        <v>88446.312281250022</v>
      </c>
    </row>
    <row r="150" spans="1:10">
      <c r="A150" s="95" t="s">
        <v>194</v>
      </c>
      <c r="B150" s="223">
        <v>2</v>
      </c>
      <c r="C150" s="243">
        <v>5000</v>
      </c>
      <c r="D150" s="96">
        <f t="shared" ref="D150:J150" si="31">$B$150*$C$150*12*D118</f>
        <v>120000</v>
      </c>
      <c r="E150" s="96">
        <f t="shared" si="31"/>
        <v>126000</v>
      </c>
      <c r="F150" s="96">
        <f t="shared" si="31"/>
        <v>132300</v>
      </c>
      <c r="G150" s="96">
        <f t="shared" si="31"/>
        <v>138915.00000000003</v>
      </c>
      <c r="H150" s="96">
        <f t="shared" si="31"/>
        <v>145860.75000000003</v>
      </c>
      <c r="I150" s="96">
        <f t="shared" si="31"/>
        <v>153153.78750000003</v>
      </c>
      <c r="J150" s="96">
        <f t="shared" si="31"/>
        <v>160811.47687500005</v>
      </c>
    </row>
    <row r="151" spans="1:10">
      <c r="A151" s="95"/>
      <c r="B151" s="223"/>
      <c r="C151" s="243"/>
      <c r="D151" s="96"/>
      <c r="E151" s="96"/>
      <c r="F151" s="96"/>
      <c r="G151" s="96"/>
      <c r="H151" s="96"/>
      <c r="I151" s="96"/>
      <c r="J151" s="96"/>
    </row>
    <row r="152" spans="1:10">
      <c r="A152" s="95"/>
      <c r="B152" s="223"/>
      <c r="C152" s="243"/>
      <c r="D152" s="96"/>
      <c r="E152" s="96"/>
      <c r="F152" s="96"/>
      <c r="G152" s="96"/>
      <c r="H152" s="96"/>
      <c r="I152" s="96"/>
      <c r="J152" s="96"/>
    </row>
    <row r="153" spans="1:10">
      <c r="A153" s="95"/>
      <c r="B153" s="223"/>
      <c r="C153" s="243"/>
      <c r="D153" s="96"/>
      <c r="E153" s="96"/>
      <c r="F153" s="96"/>
      <c r="G153" s="96"/>
      <c r="H153" s="96"/>
      <c r="I153" s="96"/>
      <c r="J153" s="96"/>
    </row>
    <row r="154" spans="1:10">
      <c r="A154" s="97" t="s">
        <v>313</v>
      </c>
      <c r="B154" s="97"/>
      <c r="C154" s="97"/>
      <c r="D154" s="115">
        <f>SUM(D149:D153)</f>
        <v>186000</v>
      </c>
      <c r="E154" s="115">
        <f t="shared" ref="E154:J154" si="32">SUM(E149:E153)</f>
        <v>195300</v>
      </c>
      <c r="F154" s="115">
        <f t="shared" si="32"/>
        <v>205065</v>
      </c>
      <c r="G154" s="115">
        <f t="shared" si="32"/>
        <v>215318.25000000006</v>
      </c>
      <c r="H154" s="115">
        <f t="shared" si="32"/>
        <v>226084.16250000003</v>
      </c>
      <c r="I154" s="115">
        <f t="shared" si="32"/>
        <v>237388.37062500004</v>
      </c>
      <c r="J154" s="115">
        <f t="shared" si="32"/>
        <v>249257.78915625007</v>
      </c>
    </row>
    <row r="155" spans="1:10">
      <c r="A155" s="186" t="s">
        <v>301</v>
      </c>
      <c r="B155" s="186"/>
      <c r="C155" s="186"/>
      <c r="D155" s="115">
        <f>D146+D154</f>
        <v>145646.80799999999</v>
      </c>
      <c r="E155" s="115">
        <f t="shared" ref="E155:J155" si="33">E146+E154</f>
        <v>172096.91459999999</v>
      </c>
      <c r="F155" s="115">
        <f t="shared" si="33"/>
        <v>179642.48904000001</v>
      </c>
      <c r="G155" s="115">
        <f t="shared" si="33"/>
        <v>187512.37863750005</v>
      </c>
      <c r="H155" s="115">
        <f t="shared" si="33"/>
        <v>195720.15097215</v>
      </c>
      <c r="I155" s="115">
        <f t="shared" si="33"/>
        <v>204279.91959367125</v>
      </c>
      <c r="J155" s="115">
        <f t="shared" si="33"/>
        <v>213206.36469991435</v>
      </c>
    </row>
    <row r="156" spans="1:10">
      <c r="A156" s="95"/>
      <c r="B156" s="95"/>
      <c r="C156" s="95"/>
      <c r="D156" s="96"/>
      <c r="E156" s="96"/>
      <c r="F156" s="96"/>
      <c r="G156" s="96"/>
      <c r="H156" s="96"/>
      <c r="I156" s="96"/>
      <c r="J156" s="96"/>
    </row>
    <row r="157" spans="1:10">
      <c r="A157" s="97" t="s">
        <v>7</v>
      </c>
      <c r="B157" s="97"/>
      <c r="C157" s="97"/>
      <c r="D157" s="115">
        <f t="shared" ref="D157:J157" si="34">D128-D155</f>
        <v>-145646.80799999999</v>
      </c>
      <c r="E157" s="115">
        <f t="shared" si="34"/>
        <v>-172096.91459999999</v>
      </c>
      <c r="F157" s="115">
        <f t="shared" si="34"/>
        <v>-179642.48904000001</v>
      </c>
      <c r="G157" s="115">
        <f t="shared" si="34"/>
        <v>-187512.37863750005</v>
      </c>
      <c r="H157" s="115">
        <f t="shared" si="34"/>
        <v>-195720.15097215</v>
      </c>
      <c r="I157" s="115">
        <f t="shared" si="34"/>
        <v>-204279.91959367125</v>
      </c>
      <c r="J157" s="115">
        <f t="shared" si="34"/>
        <v>-213206.36469991435</v>
      </c>
    </row>
    <row r="158" spans="1:10">
      <c r="A158" s="116"/>
      <c r="B158" s="116"/>
      <c r="C158" s="116"/>
      <c r="D158" s="94"/>
      <c r="E158" s="94"/>
      <c r="F158" s="94"/>
      <c r="G158" s="94"/>
      <c r="H158" s="94"/>
      <c r="I158" s="94"/>
      <c r="J158" s="94"/>
    </row>
    <row r="159" spans="1:10">
      <c r="A159" s="94"/>
      <c r="B159" s="94"/>
      <c r="C159" s="94"/>
      <c r="D159" s="94"/>
      <c r="E159" s="94"/>
      <c r="F159" s="94"/>
      <c r="G159" s="94"/>
      <c r="H159" s="94"/>
      <c r="I159" s="94"/>
      <c r="J159" s="94"/>
    </row>
    <row r="160" spans="1:10">
      <c r="A160" s="94"/>
      <c r="B160" s="94"/>
      <c r="C160" s="94"/>
      <c r="D160" s="94"/>
      <c r="E160" s="94"/>
      <c r="F160" s="94"/>
      <c r="G160" s="94"/>
      <c r="H160" s="94"/>
      <c r="I160" s="94"/>
      <c r="J160" s="94"/>
    </row>
    <row r="161" spans="1:10">
      <c r="A161" s="439" t="s">
        <v>434</v>
      </c>
      <c r="B161" s="439"/>
      <c r="C161" s="439"/>
      <c r="D161" s="439"/>
      <c r="E161" s="439"/>
      <c r="F161" s="439"/>
      <c r="G161" s="439"/>
      <c r="H161" s="439"/>
      <c r="I161" s="439"/>
      <c r="J161" s="439"/>
    </row>
    <row r="163" spans="1:10">
      <c r="A163" t="s">
        <v>555</v>
      </c>
    </row>
    <row r="164" spans="1:10">
      <c r="A164">
        <v>1</v>
      </c>
      <c r="B164" t="s">
        <v>568</v>
      </c>
    </row>
    <row r="165" spans="1:10">
      <c r="A165">
        <v>2</v>
      </c>
      <c r="B165" t="s">
        <v>569</v>
      </c>
      <c r="C165" s="67"/>
      <c r="D165" s="67"/>
      <c r="E165" s="67"/>
    </row>
    <row r="166" spans="1:10">
      <c r="A166">
        <v>3</v>
      </c>
      <c r="B166" s="94" t="s">
        <v>621</v>
      </c>
    </row>
  </sheetData>
  <mergeCells count="4">
    <mergeCell ref="A3:H3"/>
    <mergeCell ref="A116:J116"/>
    <mergeCell ref="A161:J161"/>
    <mergeCell ref="A4:H4"/>
  </mergeCells>
  <pageMargins left="0.7" right="0.7" top="0.41" bottom="0.35" header="0.3" footer="0.3"/>
  <pageSetup paperSize="9" scale="47" fitToHeight="0" orientation="portrait" r:id="rId1"/>
  <rowBreaks count="1" manualBreakCount="1">
    <brk id="112"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Normal="100" zoomScaleSheetLayoutView="100" workbookViewId="0">
      <selection activeCell="D29" sqref="D29"/>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438" t="s">
        <v>572</v>
      </c>
      <c r="C2" s="438"/>
      <c r="D2" s="438"/>
      <c r="E2" s="438"/>
      <c r="F2" s="438"/>
    </row>
    <row r="4" spans="1:13">
      <c r="B4" s="334" t="s">
        <v>146</v>
      </c>
      <c r="C4" s="334" t="s">
        <v>128</v>
      </c>
      <c r="D4" s="334" t="s">
        <v>160</v>
      </c>
      <c r="E4" s="339" t="s">
        <v>479</v>
      </c>
      <c r="F4" s="339" t="s">
        <v>480</v>
      </c>
    </row>
    <row r="5" spans="1:13">
      <c r="B5" s="335">
        <v>1</v>
      </c>
      <c r="C5" s="336" t="str">
        <f>'2.Capex Details'!B2</f>
        <v>Land and Building</v>
      </c>
      <c r="D5" s="405">
        <v>25667481</v>
      </c>
      <c r="E5" s="406">
        <v>0.6</v>
      </c>
      <c r="F5" s="407">
        <f>D5*E5</f>
        <v>15400488.6</v>
      </c>
    </row>
    <row r="6" spans="1:13">
      <c r="B6" s="335">
        <v>2</v>
      </c>
      <c r="C6" s="336" t="str">
        <f>'2.Capex Details'!B17</f>
        <v>Machinery and Equipment</v>
      </c>
      <c r="D6" s="405">
        <v>5873400</v>
      </c>
      <c r="E6" s="406">
        <v>0.6</v>
      </c>
      <c r="F6" s="407">
        <f t="shared" ref="F6:F10" si="0">D6*E6</f>
        <v>3524040</v>
      </c>
    </row>
    <row r="7" spans="1:13">
      <c r="B7" s="335">
        <v>3</v>
      </c>
      <c r="C7" s="336" t="str">
        <f>'2.Capex Details'!B58</f>
        <v>Furniture and Fixture</v>
      </c>
      <c r="D7" s="405">
        <f>'2.Capex Details'!F67</f>
        <v>0</v>
      </c>
      <c r="E7" s="406">
        <v>0.6</v>
      </c>
      <c r="F7" s="407">
        <f t="shared" si="0"/>
        <v>0</v>
      </c>
    </row>
    <row r="8" spans="1:13">
      <c r="B8" s="335">
        <v>4</v>
      </c>
      <c r="C8" s="336" t="str">
        <f>'2.Capex Details'!B72</f>
        <v>IT &amp; It Infrastracture</v>
      </c>
      <c r="D8" s="405">
        <v>0</v>
      </c>
      <c r="E8" s="406">
        <v>0.6</v>
      </c>
      <c r="F8" s="407">
        <f t="shared" si="0"/>
        <v>0</v>
      </c>
    </row>
    <row r="9" spans="1:13" ht="25.5">
      <c r="B9" s="335">
        <v>5</v>
      </c>
      <c r="C9" s="336" t="str">
        <f>'2.Capex Details'!B86</f>
        <v>Transport vehical  (Refer van and other)</v>
      </c>
      <c r="D9" s="405">
        <f>'2.Capex Details'!F92</f>
        <v>0</v>
      </c>
      <c r="E9" s="406">
        <v>0.6</v>
      </c>
      <c r="F9" s="407">
        <f t="shared" si="0"/>
        <v>0</v>
      </c>
    </row>
    <row r="10" spans="1:13">
      <c r="B10" s="335">
        <v>6</v>
      </c>
      <c r="C10" s="336" t="str">
        <f>'2.Capex Details'!B96</f>
        <v>Preliminary Expenses</v>
      </c>
      <c r="D10" s="405">
        <v>1577044</v>
      </c>
      <c r="E10" s="406">
        <v>0.6</v>
      </c>
      <c r="F10" s="407">
        <f t="shared" si="0"/>
        <v>946226.39999999991</v>
      </c>
      <c r="L10" t="s">
        <v>426</v>
      </c>
    </row>
    <row r="11" spans="1:13">
      <c r="B11" s="335">
        <v>7</v>
      </c>
      <c r="C11" s="336" t="s">
        <v>158</v>
      </c>
      <c r="D11" s="405">
        <f>'5.Closing Stock &amp; W Capital'!E56</f>
        <v>1108176.9546158903</v>
      </c>
      <c r="E11" s="408"/>
      <c r="F11" s="408"/>
    </row>
    <row r="12" spans="1:13">
      <c r="B12" s="437" t="s">
        <v>1</v>
      </c>
      <c r="C12" s="437"/>
      <c r="D12" s="341">
        <f>SUM(D5:D11)</f>
        <v>34226101.954615891</v>
      </c>
      <c r="E12" s="340"/>
      <c r="F12" s="341">
        <f>SUM(F5:F11)</f>
        <v>19870755</v>
      </c>
    </row>
    <row r="13" spans="1:13">
      <c r="D13" s="22"/>
      <c r="M13">
        <v>48</v>
      </c>
    </row>
    <row r="14" spans="1:13" ht="25.5" customHeight="1">
      <c r="A14" s="440" t="s">
        <v>427</v>
      </c>
      <c r="B14" s="440"/>
      <c r="C14" s="440"/>
      <c r="D14" s="440"/>
      <c r="E14" s="440"/>
      <c r="F14" s="440"/>
      <c r="M14">
        <v>11.64</v>
      </c>
    </row>
    <row r="15" spans="1:13">
      <c r="M15">
        <f>M13+M14</f>
        <v>59.64</v>
      </c>
    </row>
    <row r="16" spans="1:13" ht="18.75">
      <c r="B16" s="438" t="s">
        <v>573</v>
      </c>
      <c r="C16" s="438"/>
      <c r="D16" s="438"/>
      <c r="E16" s="438"/>
      <c r="F16" s="438"/>
      <c r="M16">
        <v>19.05</v>
      </c>
    </row>
    <row r="17" spans="2:13">
      <c r="M17">
        <f>M15+M16</f>
        <v>78.69</v>
      </c>
    </row>
    <row r="18" spans="2:13">
      <c r="B18" s="333" t="s">
        <v>146</v>
      </c>
      <c r="C18" s="334" t="s">
        <v>128</v>
      </c>
      <c r="D18" s="334" t="s">
        <v>668</v>
      </c>
      <c r="E18" s="334" t="s">
        <v>160</v>
      </c>
    </row>
    <row r="19" spans="2:13" ht="25.5">
      <c r="B19" s="335">
        <v>1</v>
      </c>
      <c r="C19" s="336" t="s">
        <v>338</v>
      </c>
      <c r="D19" s="370">
        <v>0.6</v>
      </c>
      <c r="E19" s="337">
        <f>F12</f>
        <v>19870755</v>
      </c>
    </row>
    <row r="20" spans="2:13">
      <c r="B20" s="335">
        <v>2</v>
      </c>
      <c r="C20" s="336" t="s">
        <v>159</v>
      </c>
      <c r="D20" s="370">
        <v>0.25</v>
      </c>
      <c r="E20" s="337">
        <f>SUM(D5:D10)*D20</f>
        <v>8279481.25</v>
      </c>
    </row>
    <row r="21" spans="2:13">
      <c r="B21" s="335">
        <v>3</v>
      </c>
      <c r="C21" s="336" t="s">
        <v>135</v>
      </c>
      <c r="D21" s="370">
        <v>0.15</v>
      </c>
      <c r="E21" s="337">
        <f>D12-E19-E20</f>
        <v>6075865.704615891</v>
      </c>
    </row>
    <row r="22" spans="2:13">
      <c r="B22" s="437" t="s">
        <v>1</v>
      </c>
      <c r="C22" s="437"/>
      <c r="D22" s="338"/>
      <c r="E22" s="338">
        <f>SUM(E19:E21)</f>
        <v>34226101.954615891</v>
      </c>
    </row>
    <row r="24" spans="2:13">
      <c r="B24" s="439" t="s">
        <v>428</v>
      </c>
      <c r="C24" s="439"/>
      <c r="D24" s="439"/>
      <c r="E24" s="439"/>
      <c r="F24" s="439"/>
    </row>
    <row r="26" spans="2:13" ht="18.75">
      <c r="B26" s="436" t="s">
        <v>574</v>
      </c>
      <c r="C26" s="436"/>
      <c r="D26" s="436"/>
      <c r="E26" s="436"/>
      <c r="F26" s="436"/>
    </row>
    <row r="27" spans="2:13">
      <c r="B27" s="342" t="s">
        <v>146</v>
      </c>
      <c r="C27" s="343" t="s">
        <v>624</v>
      </c>
      <c r="D27" s="344" t="s">
        <v>625</v>
      </c>
      <c r="E27" s="345" t="s">
        <v>626</v>
      </c>
      <c r="F27" s="434" t="s">
        <v>627</v>
      </c>
      <c r="G27" s="435"/>
    </row>
    <row r="28" spans="2:13" ht="25.5">
      <c r="B28" s="346">
        <v>1</v>
      </c>
      <c r="C28" s="336" t="s">
        <v>385</v>
      </c>
      <c r="D28" s="347">
        <f>'9. Financial indiacators'!C47</f>
        <v>0.4211747650945728</v>
      </c>
      <c r="E28" s="346" t="s">
        <v>386</v>
      </c>
      <c r="F28" s="353" t="s">
        <v>628</v>
      </c>
      <c r="G28" s="346" t="s">
        <v>387</v>
      </c>
    </row>
    <row r="29" spans="2:13" ht="38.25">
      <c r="B29" s="346">
        <v>2</v>
      </c>
      <c r="C29" s="336" t="s">
        <v>388</v>
      </c>
      <c r="D29" s="348">
        <f>'9. Financial indiacators'!C83</f>
        <v>0.20894157829333657</v>
      </c>
      <c r="E29" s="346" t="s">
        <v>386</v>
      </c>
      <c r="F29" s="353" t="s">
        <v>629</v>
      </c>
      <c r="G29" s="346" t="s">
        <v>389</v>
      </c>
    </row>
    <row r="30" spans="2:13" ht="38.25">
      <c r="B30" s="346">
        <v>3</v>
      </c>
      <c r="C30" s="336" t="s">
        <v>390</v>
      </c>
      <c r="D30" s="347">
        <f>'9. Financial indiacators'!C14</f>
        <v>0.13386929508119194</v>
      </c>
      <c r="E30" s="346" t="s">
        <v>386</v>
      </c>
      <c r="F30" s="353" t="s">
        <v>630</v>
      </c>
      <c r="G30" s="346" t="s">
        <v>391</v>
      </c>
    </row>
    <row r="31" spans="2:13" ht="63.75">
      <c r="B31" s="346">
        <v>4</v>
      </c>
      <c r="C31" s="336" t="s">
        <v>392</v>
      </c>
      <c r="D31" s="349">
        <f>'9. Financial indiacators'!C71</f>
        <v>4743568.6801644489</v>
      </c>
      <c r="E31" s="346" t="s">
        <v>396</v>
      </c>
      <c r="F31" s="353" t="s">
        <v>631</v>
      </c>
      <c r="G31" s="346" t="s">
        <v>393</v>
      </c>
    </row>
    <row r="32" spans="2:13" ht="38.25">
      <c r="B32" s="346">
        <v>5</v>
      </c>
      <c r="C32" s="336" t="s">
        <v>394</v>
      </c>
      <c r="D32" s="350">
        <f>'9. Financial indiacators'!D99</f>
        <v>4.8990720417828584</v>
      </c>
      <c r="E32" s="346" t="s">
        <v>386</v>
      </c>
      <c r="F32" s="353" t="s">
        <v>632</v>
      </c>
      <c r="G32" s="346" t="s">
        <v>397</v>
      </c>
    </row>
    <row r="33" spans="2:7" ht="38.25">
      <c r="B33" s="346">
        <v>6</v>
      </c>
      <c r="C33" s="351" t="s">
        <v>395</v>
      </c>
      <c r="D33" s="350">
        <f>'9. Financial indiacators'!C117</f>
        <v>7.8051627753939057</v>
      </c>
      <c r="E33" s="352" t="s">
        <v>386</v>
      </c>
      <c r="F33" s="353" t="s">
        <v>633</v>
      </c>
      <c r="G33" s="351" t="s">
        <v>398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06"/>
  <sheetViews>
    <sheetView view="pageBreakPreview" topLeftCell="A91" zoomScale="80" zoomScaleNormal="100" zoomScaleSheetLayoutView="80" workbookViewId="0">
      <selection activeCell="G52" sqref="G52"/>
    </sheetView>
  </sheetViews>
  <sheetFormatPr defaultRowHeight="15"/>
  <cols>
    <col min="2" max="2" width="7.5703125" bestFit="1" customWidth="1"/>
    <col min="3" max="3" width="44.42578125" customWidth="1"/>
    <col min="4" max="4" width="11.28515625" bestFit="1" customWidth="1"/>
    <col min="5" max="5" width="17" customWidth="1"/>
    <col min="6" max="6" width="14" bestFit="1" customWidth="1"/>
    <col min="7" max="7" width="13.140625" customWidth="1"/>
    <col min="8" max="8" width="11.5703125" bestFit="1" customWidth="1"/>
  </cols>
  <sheetData>
    <row r="2" spans="1:7" ht="18.75">
      <c r="A2">
        <v>2.1</v>
      </c>
      <c r="B2" s="438" t="s">
        <v>156</v>
      </c>
      <c r="C2" s="438"/>
      <c r="D2" s="438"/>
      <c r="E2" s="438"/>
      <c r="F2" s="438"/>
      <c r="G2" s="438"/>
    </row>
    <row r="4" spans="1:7" ht="28.5">
      <c r="B4" s="205" t="s">
        <v>146</v>
      </c>
      <c r="C4" s="205" t="s">
        <v>128</v>
      </c>
      <c r="D4" s="205" t="s">
        <v>133</v>
      </c>
      <c r="E4" s="205" t="s">
        <v>147</v>
      </c>
      <c r="F4" s="205" t="s">
        <v>148</v>
      </c>
      <c r="G4" s="205" t="s">
        <v>160</v>
      </c>
    </row>
    <row r="5" spans="1:7">
      <c r="B5" s="250">
        <v>1</v>
      </c>
      <c r="C5" s="250" t="s">
        <v>149</v>
      </c>
      <c r="D5" s="250" t="s">
        <v>150</v>
      </c>
      <c r="E5" s="354"/>
      <c r="F5" s="355"/>
      <c r="G5" s="356" t="s">
        <v>151</v>
      </c>
    </row>
    <row r="6" spans="1:7" ht="16.5">
      <c r="B6" s="250">
        <v>2</v>
      </c>
      <c r="C6" s="250" t="s">
        <v>711</v>
      </c>
      <c r="D6" s="251">
        <v>11971</v>
      </c>
      <c r="E6" s="220">
        <v>1</v>
      </c>
      <c r="F6" s="409">
        <v>17385698</v>
      </c>
      <c r="G6" s="222">
        <f>E6*F6</f>
        <v>17385698</v>
      </c>
    </row>
    <row r="7" spans="1:7" ht="16.5">
      <c r="B7" s="250">
        <v>3</v>
      </c>
      <c r="C7" s="250" t="s">
        <v>720</v>
      </c>
      <c r="D7" s="251">
        <v>235</v>
      </c>
      <c r="E7" s="220">
        <v>1</v>
      </c>
      <c r="F7" s="409">
        <v>942566</v>
      </c>
      <c r="G7" s="222">
        <f t="shared" ref="G7:G11" si="0">E7*F7</f>
        <v>942566</v>
      </c>
    </row>
    <row r="8" spans="1:7" ht="16.5">
      <c r="B8" s="250">
        <v>4</v>
      </c>
      <c r="C8" s="250" t="s">
        <v>721</v>
      </c>
      <c r="D8" s="251">
        <v>148</v>
      </c>
      <c r="E8" s="220">
        <v>1</v>
      </c>
      <c r="F8" s="409">
        <v>643829</v>
      </c>
      <c r="G8" s="222">
        <f t="shared" si="0"/>
        <v>643829</v>
      </c>
    </row>
    <row r="9" spans="1:7">
      <c r="B9" s="250">
        <v>5</v>
      </c>
      <c r="C9" s="250" t="s">
        <v>722</v>
      </c>
      <c r="D9" s="251">
        <v>2938</v>
      </c>
      <c r="E9" s="220">
        <v>1</v>
      </c>
      <c r="F9" s="410">
        <v>5770388</v>
      </c>
      <c r="G9" s="222">
        <f t="shared" si="0"/>
        <v>5770388</v>
      </c>
    </row>
    <row r="10" spans="1:7">
      <c r="B10" s="250">
        <v>6</v>
      </c>
      <c r="C10" s="250" t="s">
        <v>723</v>
      </c>
      <c r="D10" s="251"/>
      <c r="E10" s="220">
        <v>1</v>
      </c>
      <c r="F10" s="221">
        <v>925000</v>
      </c>
      <c r="G10" s="222">
        <f t="shared" si="0"/>
        <v>925000</v>
      </c>
    </row>
    <row r="11" spans="1:7">
      <c r="B11" s="250"/>
      <c r="C11" s="250"/>
      <c r="D11" s="251"/>
      <c r="E11" s="220"/>
      <c r="F11" s="221"/>
      <c r="G11" s="222">
        <f t="shared" si="0"/>
        <v>0</v>
      </c>
    </row>
    <row r="12" spans="1:7">
      <c r="B12" s="448" t="s">
        <v>1</v>
      </c>
      <c r="C12" s="448"/>
      <c r="D12" s="448"/>
      <c r="E12" s="448"/>
      <c r="F12" s="448"/>
      <c r="G12" s="219">
        <f>SUM(G6:G11)</f>
        <v>25667481</v>
      </c>
    </row>
    <row r="15" spans="1:7">
      <c r="B15" s="439" t="s">
        <v>422</v>
      </c>
      <c r="C15" s="439"/>
      <c r="D15" s="439"/>
      <c r="E15" s="439"/>
      <c r="F15" s="439"/>
      <c r="G15" s="439"/>
    </row>
    <row r="17" spans="1:8" ht="18.75">
      <c r="A17">
        <v>2.2000000000000002</v>
      </c>
      <c r="B17" s="438" t="s">
        <v>157</v>
      </c>
      <c r="C17" s="438"/>
      <c r="D17" s="438"/>
      <c r="E17" s="438"/>
      <c r="F17" s="438"/>
      <c r="G17" s="438"/>
      <c r="H17" s="438"/>
    </row>
    <row r="18" spans="1:8">
      <c r="B18" s="19"/>
    </row>
    <row r="19" spans="1:8" ht="28.5">
      <c r="B19" s="309" t="s">
        <v>146</v>
      </c>
      <c r="C19" s="309" t="s">
        <v>152</v>
      </c>
      <c r="D19" s="309" t="s">
        <v>163</v>
      </c>
      <c r="E19" s="309" t="s">
        <v>153</v>
      </c>
      <c r="F19" s="309" t="s">
        <v>154</v>
      </c>
      <c r="G19" s="309" t="s">
        <v>160</v>
      </c>
      <c r="H19" s="309" t="s">
        <v>155</v>
      </c>
    </row>
    <row r="20" spans="1:8">
      <c r="B20" s="230"/>
      <c r="C20" s="223"/>
      <c r="D20" s="223"/>
      <c r="E20" s="223"/>
      <c r="F20" s="223"/>
      <c r="G20" s="224"/>
      <c r="H20" s="223"/>
    </row>
    <row r="21" spans="1:8">
      <c r="B21" s="226" t="s">
        <v>175</v>
      </c>
      <c r="C21" s="225" t="s">
        <v>371</v>
      </c>
      <c r="D21" s="225"/>
      <c r="E21" s="226"/>
      <c r="F21" s="227"/>
      <c r="G21" s="224">
        <f t="shared" ref="G21:G24" si="1">E21*F21</f>
        <v>0</v>
      </c>
      <c r="H21" s="228"/>
    </row>
    <row r="22" spans="1:8">
      <c r="B22" s="226"/>
      <c r="C22" s="225"/>
      <c r="D22" s="225"/>
      <c r="E22" s="226"/>
      <c r="F22" s="227"/>
      <c r="G22" s="224">
        <f t="shared" si="1"/>
        <v>0</v>
      </c>
      <c r="H22" s="228"/>
    </row>
    <row r="23" spans="1:8">
      <c r="B23" s="226"/>
      <c r="C23" s="225"/>
      <c r="D23" s="226"/>
      <c r="E23" s="226"/>
      <c r="F23" s="227"/>
      <c r="G23" s="224">
        <f t="shared" si="1"/>
        <v>0</v>
      </c>
      <c r="H23" s="228"/>
    </row>
    <row r="24" spans="1:8">
      <c r="B24" s="226"/>
      <c r="C24" s="225"/>
      <c r="D24" s="226"/>
      <c r="E24" s="226"/>
      <c r="F24" s="227"/>
      <c r="G24" s="224">
        <f t="shared" si="1"/>
        <v>0</v>
      </c>
      <c r="H24" s="228"/>
    </row>
    <row r="25" spans="1:8">
      <c r="B25" s="444" t="s">
        <v>173</v>
      </c>
      <c r="C25" s="444"/>
      <c r="D25" s="226"/>
      <c r="E25" s="226"/>
      <c r="F25" s="229"/>
      <c r="G25" s="224">
        <f>SUM(G21:G24)</f>
        <v>0</v>
      </c>
      <c r="H25" s="224">
        <f>SUM(H21:H24)</f>
        <v>0</v>
      </c>
    </row>
    <row r="26" spans="1:8">
      <c r="B26" s="226" t="s">
        <v>176</v>
      </c>
      <c r="C26" s="225" t="s">
        <v>296</v>
      </c>
      <c r="D26" s="230"/>
      <c r="E26" s="230"/>
      <c r="F26" s="224"/>
      <c r="G26" s="224"/>
      <c r="H26" s="223"/>
    </row>
    <row r="27" spans="1:8">
      <c r="B27" s="230"/>
      <c r="C27" s="231"/>
      <c r="D27" s="230"/>
      <c r="E27" s="230"/>
      <c r="F27" s="224"/>
      <c r="G27" s="224">
        <f t="shared" ref="G27:G29" si="2">F27</f>
        <v>0</v>
      </c>
      <c r="H27" s="223"/>
    </row>
    <row r="28" spans="1:8">
      <c r="B28" s="230"/>
      <c r="C28" s="231"/>
      <c r="D28" s="230"/>
      <c r="E28" s="230"/>
      <c r="F28" s="224"/>
      <c r="G28" s="224">
        <f t="shared" si="2"/>
        <v>0</v>
      </c>
      <c r="H28" s="223"/>
    </row>
    <row r="29" spans="1:8">
      <c r="B29" s="230"/>
      <c r="C29" s="231"/>
      <c r="D29" s="230"/>
      <c r="E29" s="230"/>
      <c r="F29" s="224"/>
      <c r="G29" s="224">
        <f t="shared" si="2"/>
        <v>0</v>
      </c>
      <c r="H29" s="223"/>
    </row>
    <row r="30" spans="1:8">
      <c r="B30" s="444" t="s">
        <v>173</v>
      </c>
      <c r="C30" s="444"/>
      <c r="D30" s="226"/>
      <c r="E30" s="226"/>
      <c r="F30" s="229"/>
      <c r="G30" s="229">
        <f>SUM(G27:G29)</f>
        <v>0</v>
      </c>
      <c r="H30" s="229">
        <f>SUM(H27:H29)</f>
        <v>0</v>
      </c>
    </row>
    <row r="31" spans="1:8">
      <c r="B31" s="230"/>
      <c r="C31" s="231"/>
      <c r="D31" s="230"/>
      <c r="E31" s="230"/>
      <c r="F31" s="224"/>
      <c r="G31" s="224"/>
      <c r="H31" s="223"/>
    </row>
    <row r="32" spans="1:8">
      <c r="B32" s="226" t="s">
        <v>177</v>
      </c>
      <c r="C32" s="225" t="s">
        <v>372</v>
      </c>
      <c r="D32" s="230"/>
      <c r="E32" s="230"/>
      <c r="F32" s="411"/>
      <c r="G32" s="411">
        <f t="shared" ref="G32:G44" si="3">E32*F32</f>
        <v>0</v>
      </c>
      <c r="H32" s="223"/>
    </row>
    <row r="33" spans="2:8">
      <c r="B33" s="226"/>
      <c r="C33" s="225" t="s">
        <v>724</v>
      </c>
      <c r="D33" s="230"/>
      <c r="E33" s="230">
        <v>1</v>
      </c>
      <c r="F33" s="411">
        <v>1352400</v>
      </c>
      <c r="G33" s="411">
        <f t="shared" si="3"/>
        <v>1352400</v>
      </c>
      <c r="H33" s="223"/>
    </row>
    <row r="34" spans="2:8">
      <c r="B34" s="404"/>
      <c r="C34" s="225" t="s">
        <v>725</v>
      </c>
      <c r="D34" s="230"/>
      <c r="E34" s="230">
        <v>1</v>
      </c>
      <c r="F34" s="411">
        <v>2400000</v>
      </c>
      <c r="G34" s="411">
        <f t="shared" si="3"/>
        <v>2400000</v>
      </c>
      <c r="H34" s="223"/>
    </row>
    <row r="35" spans="2:8">
      <c r="B35" s="404"/>
      <c r="C35" s="225" t="s">
        <v>726</v>
      </c>
      <c r="D35" s="230"/>
      <c r="E35" s="230">
        <v>1</v>
      </c>
      <c r="F35" s="411">
        <v>910000</v>
      </c>
      <c r="G35" s="411">
        <f t="shared" si="3"/>
        <v>910000</v>
      </c>
      <c r="H35" s="223"/>
    </row>
    <row r="36" spans="2:8">
      <c r="B36" s="404"/>
      <c r="C36" s="225" t="s">
        <v>727</v>
      </c>
      <c r="D36" s="230"/>
      <c r="E36" s="230">
        <v>1</v>
      </c>
      <c r="F36" s="411">
        <v>80000</v>
      </c>
      <c r="G36" s="411">
        <f t="shared" si="3"/>
        <v>80000</v>
      </c>
      <c r="H36" s="223"/>
    </row>
    <row r="37" spans="2:8">
      <c r="B37" s="226"/>
      <c r="C37" s="225" t="s">
        <v>728</v>
      </c>
      <c r="D37" s="231"/>
      <c r="E37" s="230">
        <v>1</v>
      </c>
      <c r="F37" s="411">
        <v>60000</v>
      </c>
      <c r="G37" s="411">
        <f t="shared" si="3"/>
        <v>60000</v>
      </c>
      <c r="H37" s="223"/>
    </row>
    <row r="38" spans="2:8">
      <c r="B38" s="226"/>
      <c r="C38" s="225" t="s">
        <v>729</v>
      </c>
      <c r="D38" s="231"/>
      <c r="E38" s="230">
        <v>1</v>
      </c>
      <c r="F38" s="411">
        <v>460000</v>
      </c>
      <c r="G38" s="411">
        <f t="shared" si="3"/>
        <v>460000</v>
      </c>
      <c r="H38" s="223"/>
    </row>
    <row r="39" spans="2:8">
      <c r="B39" s="404"/>
      <c r="C39" s="225" t="s">
        <v>730</v>
      </c>
      <c r="D39" s="231"/>
      <c r="E39" s="230">
        <v>1</v>
      </c>
      <c r="F39" s="411">
        <v>115000</v>
      </c>
      <c r="G39" s="411">
        <f t="shared" si="3"/>
        <v>115000</v>
      </c>
      <c r="H39" s="223"/>
    </row>
    <row r="40" spans="2:8">
      <c r="B40" s="404"/>
      <c r="C40" s="225" t="s">
        <v>731</v>
      </c>
      <c r="D40" s="231"/>
      <c r="E40" s="230">
        <v>1</v>
      </c>
      <c r="F40" s="411">
        <v>45000</v>
      </c>
      <c r="G40" s="411">
        <f t="shared" si="3"/>
        <v>45000</v>
      </c>
      <c r="H40" s="223"/>
    </row>
    <row r="41" spans="2:8">
      <c r="B41" s="404"/>
      <c r="C41" s="225" t="s">
        <v>732</v>
      </c>
      <c r="D41" s="231"/>
      <c r="E41" s="230">
        <v>1</v>
      </c>
      <c r="F41" s="411">
        <v>26000</v>
      </c>
      <c r="G41" s="411">
        <f t="shared" si="3"/>
        <v>26000</v>
      </c>
      <c r="H41" s="223"/>
    </row>
    <row r="42" spans="2:8">
      <c r="B42" s="404"/>
      <c r="C42" s="225" t="s">
        <v>733</v>
      </c>
      <c r="D42" s="231"/>
      <c r="E42" s="230">
        <v>1</v>
      </c>
      <c r="F42" s="411">
        <v>215000</v>
      </c>
      <c r="G42" s="411">
        <f t="shared" si="3"/>
        <v>215000</v>
      </c>
      <c r="H42" s="223"/>
    </row>
    <row r="43" spans="2:8">
      <c r="B43" s="404"/>
      <c r="C43" s="225" t="s">
        <v>734</v>
      </c>
      <c r="D43" s="231"/>
      <c r="E43" s="230">
        <v>1</v>
      </c>
      <c r="F43" s="411">
        <v>210000</v>
      </c>
      <c r="G43" s="411">
        <f t="shared" si="3"/>
        <v>210000</v>
      </c>
      <c r="H43" s="223"/>
    </row>
    <row r="44" spans="2:8">
      <c r="B44" s="226"/>
      <c r="C44" s="225"/>
      <c r="D44" s="231"/>
      <c r="E44" s="230"/>
      <c r="F44" s="411"/>
      <c r="G44" s="411">
        <f t="shared" si="3"/>
        <v>0</v>
      </c>
      <c r="H44" s="223"/>
    </row>
    <row r="45" spans="2:8">
      <c r="B45" s="444" t="s">
        <v>173</v>
      </c>
      <c r="C45" s="444"/>
      <c r="D45" s="231"/>
      <c r="E45" s="230"/>
      <c r="F45" s="411"/>
      <c r="G45" s="411">
        <f>SUM(G32:G44)</f>
        <v>5873400</v>
      </c>
      <c r="H45" s="224">
        <f>SUM(H32:H44)</f>
        <v>0</v>
      </c>
    </row>
    <row r="46" spans="2:8">
      <c r="B46" s="226"/>
      <c r="C46" s="226"/>
      <c r="D46" s="231"/>
      <c r="E46" s="230"/>
      <c r="F46" s="224"/>
      <c r="G46" s="224"/>
      <c r="H46" s="224"/>
    </row>
    <row r="47" spans="2:8">
      <c r="B47" s="226" t="s">
        <v>178</v>
      </c>
      <c r="C47" s="226" t="s">
        <v>554</v>
      </c>
      <c r="D47" s="231"/>
      <c r="E47" s="230"/>
      <c r="F47" s="224"/>
      <c r="G47" s="224">
        <f>E47*F47</f>
        <v>0</v>
      </c>
      <c r="H47" s="224"/>
    </row>
    <row r="48" spans="2:8">
      <c r="B48" s="226"/>
      <c r="C48" s="226"/>
      <c r="D48" s="231"/>
      <c r="E48" s="230"/>
      <c r="F48" s="224"/>
      <c r="G48" s="224">
        <f t="shared" ref="G48:G49" si="4">E48*F48</f>
        <v>0</v>
      </c>
      <c r="H48" s="224"/>
    </row>
    <row r="49" spans="1:11">
      <c r="B49" s="226"/>
      <c r="C49" s="225"/>
      <c r="D49" s="231"/>
      <c r="E49" s="230"/>
      <c r="F49" s="224"/>
      <c r="G49" s="224">
        <f t="shared" si="4"/>
        <v>0</v>
      </c>
      <c r="H49" s="223"/>
    </row>
    <row r="50" spans="1:11">
      <c r="B50" s="444" t="s">
        <v>173</v>
      </c>
      <c r="C50" s="444"/>
      <c r="D50" s="231"/>
      <c r="E50" s="230"/>
      <c r="F50" s="224"/>
      <c r="G50" s="224">
        <f>SUM(G47:G49)</f>
        <v>0</v>
      </c>
      <c r="H50" s="224">
        <f>SUM(H47:H49)</f>
        <v>0</v>
      </c>
    </row>
    <row r="51" spans="1:11">
      <c r="B51" s="230"/>
      <c r="C51" s="231"/>
      <c r="D51" s="231"/>
      <c r="E51" s="230"/>
      <c r="F51" s="224"/>
      <c r="G51" s="224"/>
      <c r="H51" s="223"/>
    </row>
    <row r="52" spans="1:11">
      <c r="B52" s="445" t="s">
        <v>1</v>
      </c>
      <c r="C52" s="445"/>
      <c r="D52" s="445"/>
      <c r="E52" s="445"/>
      <c r="F52" s="445"/>
      <c r="G52" s="218">
        <f>G45+G30+G25+G50</f>
        <v>5873400</v>
      </c>
      <c r="H52" s="218">
        <f>H30+H21+H45+H50</f>
        <v>0</v>
      </c>
    </row>
    <row r="53" spans="1:11">
      <c r="B53" s="19"/>
      <c r="G53" s="18"/>
    </row>
    <row r="54" spans="1:11">
      <c r="B54" s="439" t="s">
        <v>423</v>
      </c>
      <c r="C54" s="439"/>
      <c r="D54" s="439"/>
      <c r="E54" s="439"/>
      <c r="F54" s="439"/>
      <c r="G54" s="439"/>
      <c r="H54" s="439"/>
    </row>
    <row r="55" spans="1:11">
      <c r="B55" s="19"/>
      <c r="G55" s="18"/>
      <c r="I55" s="19"/>
      <c r="J55" s="19"/>
      <c r="K55" s="20"/>
    </row>
    <row r="58" spans="1:11" ht="18.75">
      <c r="A58">
        <v>2.2999999999999998</v>
      </c>
      <c r="B58" s="438" t="s">
        <v>383</v>
      </c>
      <c r="C58" s="438"/>
      <c r="D58" s="438"/>
      <c r="E58" s="438"/>
      <c r="F58" s="438"/>
    </row>
    <row r="60" spans="1:11" ht="30">
      <c r="B60" s="23" t="s">
        <v>146</v>
      </c>
      <c r="C60" s="57" t="s">
        <v>128</v>
      </c>
      <c r="D60" s="57" t="s">
        <v>153</v>
      </c>
      <c r="E60" s="57" t="s">
        <v>154</v>
      </c>
      <c r="F60" s="57" t="s">
        <v>160</v>
      </c>
    </row>
    <row r="61" spans="1:11">
      <c r="B61" s="232">
        <v>1</v>
      </c>
      <c r="C61" s="252"/>
      <c r="D61" s="232"/>
      <c r="E61" s="233"/>
      <c r="F61" s="234">
        <f t="shared" ref="F61:F66" si="5">D61*E61</f>
        <v>0</v>
      </c>
    </row>
    <row r="62" spans="1:11">
      <c r="B62" s="232"/>
      <c r="C62" s="252"/>
      <c r="D62" s="232"/>
      <c r="E62" s="233"/>
      <c r="F62" s="234">
        <f t="shared" si="5"/>
        <v>0</v>
      </c>
    </row>
    <row r="63" spans="1:11">
      <c r="B63" s="232"/>
      <c r="C63" s="252"/>
      <c r="D63" s="232"/>
      <c r="E63" s="233"/>
      <c r="F63" s="234">
        <f t="shared" si="5"/>
        <v>0</v>
      </c>
    </row>
    <row r="64" spans="1:11">
      <c r="B64" s="232"/>
      <c r="C64" s="252"/>
      <c r="D64" s="232"/>
      <c r="E64" s="233"/>
      <c r="F64" s="234">
        <f t="shared" si="5"/>
        <v>0</v>
      </c>
    </row>
    <row r="65" spans="1:7">
      <c r="B65" s="232"/>
      <c r="C65" s="252"/>
      <c r="D65" s="232"/>
      <c r="E65" s="233"/>
      <c r="F65" s="234">
        <f t="shared" si="5"/>
        <v>0</v>
      </c>
    </row>
    <row r="66" spans="1:7">
      <c r="B66" s="232"/>
      <c r="C66" s="252"/>
      <c r="D66" s="232"/>
      <c r="E66" s="233"/>
      <c r="F66" s="234">
        <f t="shared" si="5"/>
        <v>0</v>
      </c>
    </row>
    <row r="67" spans="1:7">
      <c r="B67" s="447" t="s">
        <v>1</v>
      </c>
      <c r="C67" s="447"/>
      <c r="D67" s="447"/>
      <c r="E67" s="447"/>
      <c r="F67" s="21">
        <f>SUM(F61:F66)</f>
        <v>0</v>
      </c>
    </row>
    <row r="69" spans="1:7">
      <c r="A69" s="439" t="s">
        <v>424</v>
      </c>
      <c r="B69" s="439"/>
      <c r="C69" s="439"/>
      <c r="D69" s="439"/>
      <c r="E69" s="439"/>
      <c r="F69" s="439"/>
      <c r="G69" s="439"/>
    </row>
    <row r="72" spans="1:7" ht="18.75">
      <c r="A72">
        <v>2.4</v>
      </c>
      <c r="B72" s="438" t="s">
        <v>382</v>
      </c>
      <c r="C72" s="438"/>
      <c r="D72" s="438"/>
      <c r="E72" s="438"/>
      <c r="F72" s="438"/>
    </row>
    <row r="74" spans="1:7" ht="30">
      <c r="B74" s="23" t="s">
        <v>146</v>
      </c>
      <c r="C74" s="61" t="s">
        <v>128</v>
      </c>
      <c r="D74" s="61" t="s">
        <v>153</v>
      </c>
      <c r="E74" s="61" t="s">
        <v>154</v>
      </c>
      <c r="F74" s="61" t="s">
        <v>160</v>
      </c>
    </row>
    <row r="75" spans="1:7">
      <c r="B75" s="232">
        <v>1</v>
      </c>
      <c r="C75" s="252"/>
      <c r="D75" s="232"/>
      <c r="E75" s="233"/>
      <c r="F75" s="234">
        <f t="shared" ref="F75:F80" si="6">D75*E75</f>
        <v>0</v>
      </c>
    </row>
    <row r="76" spans="1:7">
      <c r="B76" s="232"/>
      <c r="C76" s="252"/>
      <c r="D76" s="232"/>
      <c r="E76" s="233"/>
      <c r="F76" s="234">
        <f t="shared" si="6"/>
        <v>0</v>
      </c>
    </row>
    <row r="77" spans="1:7">
      <c r="B77" s="232"/>
      <c r="C77" s="252"/>
      <c r="D77" s="232"/>
      <c r="E77" s="233"/>
      <c r="F77" s="234">
        <f t="shared" si="6"/>
        <v>0</v>
      </c>
    </row>
    <row r="78" spans="1:7">
      <c r="B78" s="232"/>
      <c r="C78" s="252"/>
      <c r="D78" s="232"/>
      <c r="E78" s="233"/>
      <c r="F78" s="234">
        <f t="shared" si="6"/>
        <v>0</v>
      </c>
    </row>
    <row r="79" spans="1:7">
      <c r="B79" s="232"/>
      <c r="C79" s="252"/>
      <c r="D79" s="232"/>
      <c r="E79" s="233"/>
      <c r="F79" s="234">
        <f t="shared" si="6"/>
        <v>0</v>
      </c>
    </row>
    <row r="80" spans="1:7">
      <c r="B80" s="232"/>
      <c r="C80" s="252"/>
      <c r="D80" s="232"/>
      <c r="E80" s="233"/>
      <c r="F80" s="234">
        <f t="shared" si="6"/>
        <v>0</v>
      </c>
    </row>
    <row r="81" spans="1:7">
      <c r="B81" s="447" t="s">
        <v>1</v>
      </c>
      <c r="C81" s="447"/>
      <c r="D81" s="447"/>
      <c r="E81" s="447"/>
      <c r="F81" s="21">
        <f>SUM(F75:F80)</f>
        <v>0</v>
      </c>
    </row>
    <row r="83" spans="1:7">
      <c r="A83" s="439" t="s">
        <v>424</v>
      </c>
      <c r="B83" s="439"/>
      <c r="C83" s="439"/>
      <c r="D83" s="439"/>
      <c r="E83" s="439"/>
      <c r="F83" s="439"/>
      <c r="G83" s="439"/>
    </row>
    <row r="86" spans="1:7" ht="18.75">
      <c r="A86">
        <v>2.5</v>
      </c>
      <c r="B86" s="438" t="s">
        <v>661</v>
      </c>
      <c r="C86" s="438"/>
      <c r="D86" s="438"/>
      <c r="E86" s="438"/>
      <c r="F86" s="438"/>
    </row>
    <row r="88" spans="1:7" ht="28.5">
      <c r="B88" s="204" t="s">
        <v>146</v>
      </c>
      <c r="C88" s="205" t="s">
        <v>128</v>
      </c>
      <c r="D88" s="205" t="s">
        <v>153</v>
      </c>
      <c r="E88" s="205" t="s">
        <v>154</v>
      </c>
      <c r="F88" s="205" t="s">
        <v>160</v>
      </c>
    </row>
    <row r="89" spans="1:7">
      <c r="B89" s="230">
        <v>1</v>
      </c>
      <c r="C89" s="231"/>
      <c r="D89" s="230"/>
      <c r="E89" s="235"/>
      <c r="F89" s="224">
        <f>E89*D89</f>
        <v>0</v>
      </c>
    </row>
    <row r="90" spans="1:7">
      <c r="B90" s="230"/>
      <c r="C90" s="231"/>
      <c r="D90" s="230"/>
      <c r="E90" s="235"/>
      <c r="F90" s="224">
        <f>E90*D90</f>
        <v>0</v>
      </c>
    </row>
    <row r="91" spans="1:7">
      <c r="B91" s="230"/>
      <c r="C91" s="231"/>
      <c r="D91" s="230"/>
      <c r="E91" s="235"/>
      <c r="F91" s="224">
        <f>E91*D91</f>
        <v>0</v>
      </c>
    </row>
    <row r="92" spans="1:7">
      <c r="B92" s="445" t="s">
        <v>1</v>
      </c>
      <c r="C92" s="445"/>
      <c r="D92" s="445"/>
      <c r="E92" s="445"/>
      <c r="F92" s="207">
        <f>SUM(F89:F91)</f>
        <v>0</v>
      </c>
    </row>
    <row r="93" spans="1:7">
      <c r="A93" s="446" t="s">
        <v>461</v>
      </c>
      <c r="B93" s="446"/>
      <c r="C93" s="446"/>
      <c r="D93" s="446"/>
      <c r="E93" s="446"/>
      <c r="F93" s="446"/>
      <c r="G93" s="446"/>
    </row>
    <row r="96" spans="1:7" ht="18.75">
      <c r="A96">
        <v>2.6</v>
      </c>
      <c r="B96" s="438" t="s">
        <v>257</v>
      </c>
      <c r="C96" s="438"/>
      <c r="D96" s="438"/>
    </row>
    <row r="97" spans="1:5" ht="15.75" thickBot="1"/>
    <row r="98" spans="1:5" ht="29.25" thickBot="1">
      <c r="B98" s="216" t="s">
        <v>146</v>
      </c>
      <c r="C98" s="217" t="s">
        <v>128</v>
      </c>
      <c r="D98" s="217" t="s">
        <v>381</v>
      </c>
    </row>
    <row r="99" spans="1:5" ht="17.25" thickBot="1">
      <c r="B99" s="253">
        <v>1</v>
      </c>
      <c r="C99" s="373" t="s">
        <v>712</v>
      </c>
      <c r="D99" s="412">
        <v>1077044</v>
      </c>
    </row>
    <row r="100" spans="1:5" ht="17.25" thickBot="1">
      <c r="B100" s="253">
        <v>2</v>
      </c>
      <c r="C100" s="374" t="s">
        <v>713</v>
      </c>
      <c r="D100" s="412">
        <v>500000</v>
      </c>
    </row>
    <row r="101" spans="1:5" ht="17.25" thickBot="1">
      <c r="B101" s="253">
        <v>3</v>
      </c>
      <c r="C101" s="375" t="s">
        <v>714</v>
      </c>
      <c r="D101" s="412"/>
    </row>
    <row r="102" spans="1:5" ht="17.25" thickBot="1">
      <c r="B102" s="253">
        <v>4</v>
      </c>
      <c r="C102" s="374" t="s">
        <v>715</v>
      </c>
      <c r="D102" s="412"/>
    </row>
    <row r="103" spans="1:5" ht="15.75" thickBot="1">
      <c r="B103" s="253"/>
      <c r="C103" s="254"/>
      <c r="D103" s="412"/>
    </row>
    <row r="104" spans="1:5" ht="15.75" thickBot="1">
      <c r="B104" s="441" t="s">
        <v>1</v>
      </c>
      <c r="C104" s="442"/>
      <c r="D104" s="413">
        <f>SUM(D99:D103)</f>
        <v>1577044</v>
      </c>
    </row>
    <row r="106" spans="1:5" ht="26.1" customHeight="1">
      <c r="A106" s="443" t="s">
        <v>462</v>
      </c>
      <c r="B106" s="443"/>
      <c r="C106" s="443"/>
      <c r="D106" s="443"/>
      <c r="E106" s="443"/>
    </row>
  </sheetData>
  <mergeCells count="22">
    <mergeCell ref="B12:F12"/>
    <mergeCell ref="B2:G2"/>
    <mergeCell ref="B15:G15"/>
    <mergeCell ref="B54:H54"/>
    <mergeCell ref="B52:F52"/>
    <mergeCell ref="B17:H17"/>
    <mergeCell ref="B25:C25"/>
    <mergeCell ref="B30:C30"/>
    <mergeCell ref="B45:C45"/>
    <mergeCell ref="B104:C104"/>
    <mergeCell ref="A106:E106"/>
    <mergeCell ref="B50:C50"/>
    <mergeCell ref="A83:G83"/>
    <mergeCell ref="B92:E92"/>
    <mergeCell ref="B86:F86"/>
    <mergeCell ref="A93:G93"/>
    <mergeCell ref="B96:D96"/>
    <mergeCell ref="B67:E67"/>
    <mergeCell ref="B58:F58"/>
    <mergeCell ref="A69:G69"/>
    <mergeCell ref="B81:E81"/>
    <mergeCell ref="B72:F72"/>
  </mergeCells>
  <pageMargins left="0.7" right="0.7" top="0.75" bottom="0.75" header="0.3" footer="0.3"/>
  <pageSetup scale="70" fitToHeight="0" orientation="portrait" r:id="rId1"/>
  <rowBreaks count="1" manualBreakCount="1">
    <brk id="5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2"/>
  <sheetViews>
    <sheetView view="pageBreakPreview" zoomScale="80" zoomScaleSheetLayoutView="80" workbookViewId="0">
      <selection activeCell="E89" sqref="E89"/>
    </sheetView>
  </sheetViews>
  <sheetFormatPr defaultRowHeight="15"/>
  <cols>
    <col min="1" max="1" width="41.28515625" customWidth="1"/>
    <col min="2" max="2" width="14.5703125" bestFit="1" customWidth="1"/>
    <col min="3" max="9" width="20.140625" bestFit="1" customWidth="1"/>
    <col min="10" max="10" width="14.7109375" bestFit="1" customWidth="1"/>
    <col min="11" max="11" width="45.28515625" bestFit="1" customWidth="1"/>
    <col min="12" max="18" width="18.140625" bestFit="1" customWidth="1"/>
  </cols>
  <sheetData>
    <row r="2" spans="1:12" ht="18.75">
      <c r="A2" s="436" t="s">
        <v>575</v>
      </c>
      <c r="B2" s="436"/>
      <c r="C2" s="436"/>
      <c r="D2" s="436"/>
      <c r="E2" s="436"/>
      <c r="F2" s="436"/>
      <c r="G2" s="436"/>
      <c r="H2" s="436"/>
      <c r="I2" s="436"/>
      <c r="J2" s="436"/>
      <c r="K2" s="436"/>
      <c r="L2" s="381"/>
    </row>
    <row r="4" spans="1:12">
      <c r="A4" s="94"/>
      <c r="B4" s="94"/>
      <c r="C4" s="94"/>
      <c r="D4" s="94"/>
      <c r="E4" s="169">
        <v>1</v>
      </c>
      <c r="F4" s="174">
        <f>(E4*5%)+E4</f>
        <v>1.05</v>
      </c>
      <c r="G4" s="174">
        <f t="shared" ref="G4:J4" si="0">(F4*5%)+F4</f>
        <v>1.1025</v>
      </c>
      <c r="H4" s="174">
        <f t="shared" si="0"/>
        <v>1.1576250000000001</v>
      </c>
      <c r="I4" s="174">
        <f t="shared" si="0"/>
        <v>1.2155062500000002</v>
      </c>
      <c r="J4" s="174">
        <f t="shared" si="0"/>
        <v>1.2762815625000004</v>
      </c>
      <c r="K4" s="174">
        <f>(J4*5%)+J4</f>
        <v>1.3400956406250004</v>
      </c>
    </row>
    <row r="5" spans="1:12">
      <c r="A5" s="94"/>
      <c r="B5" s="94"/>
      <c r="C5" s="94"/>
      <c r="D5" s="94"/>
      <c r="E5" s="94"/>
      <c r="F5" s="94"/>
      <c r="G5" s="94"/>
      <c r="H5" s="94"/>
      <c r="I5" s="94"/>
      <c r="J5" s="94"/>
      <c r="K5" s="94"/>
    </row>
    <row r="6" spans="1:12">
      <c r="A6" s="148" t="s">
        <v>0</v>
      </c>
      <c r="B6" s="148" t="s">
        <v>133</v>
      </c>
      <c r="C6" s="148" t="s">
        <v>399</v>
      </c>
      <c r="D6" s="148" t="s">
        <v>291</v>
      </c>
      <c r="E6" s="120" t="s">
        <v>2</v>
      </c>
      <c r="F6" s="120" t="s">
        <v>3</v>
      </c>
      <c r="G6" s="120" t="s">
        <v>4</v>
      </c>
      <c r="H6" s="120" t="s">
        <v>5</v>
      </c>
      <c r="I6" s="120" t="s">
        <v>6</v>
      </c>
      <c r="J6" s="120" t="s">
        <v>171</v>
      </c>
      <c r="K6" s="120" t="s">
        <v>170</v>
      </c>
    </row>
    <row r="7" spans="1:12">
      <c r="A7" s="95"/>
      <c r="B7" s="95"/>
      <c r="C7" s="95"/>
      <c r="D7" s="95"/>
      <c r="E7" s="95"/>
      <c r="F7" s="95"/>
      <c r="G7" s="95"/>
      <c r="H7" s="95"/>
      <c r="I7" s="95"/>
      <c r="J7" s="95"/>
      <c r="K7" s="95"/>
    </row>
    <row r="8" spans="1:12">
      <c r="A8" s="95" t="s">
        <v>334</v>
      </c>
      <c r="B8" s="95" t="s">
        <v>400</v>
      </c>
      <c r="C8" s="99">
        <v>2</v>
      </c>
      <c r="D8" s="414">
        <v>20000</v>
      </c>
      <c r="E8" s="96">
        <f>$C8*$D8*12*E$4</f>
        <v>480000</v>
      </c>
      <c r="F8" s="96">
        <f t="shared" ref="F8:J8" si="1">$C8*$D8*12*F$4</f>
        <v>504000</v>
      </c>
      <c r="G8" s="96">
        <f t="shared" si="1"/>
        <v>529200</v>
      </c>
      <c r="H8" s="96">
        <f t="shared" si="1"/>
        <v>555660.00000000012</v>
      </c>
      <c r="I8" s="96">
        <f t="shared" si="1"/>
        <v>583443.00000000012</v>
      </c>
      <c r="J8" s="96">
        <f t="shared" si="1"/>
        <v>612615.15000000014</v>
      </c>
      <c r="K8" s="96">
        <f>$C8*$D8*12*K$4</f>
        <v>643245.9075000002</v>
      </c>
    </row>
    <row r="9" spans="1:12">
      <c r="A9" s="95" t="s">
        <v>195</v>
      </c>
      <c r="B9" s="95" t="s">
        <v>400</v>
      </c>
      <c r="C9" s="99">
        <v>1</v>
      </c>
      <c r="D9" s="414">
        <v>7500</v>
      </c>
      <c r="E9" s="96">
        <f>$C9*$D9*12*E$4</f>
        <v>90000</v>
      </c>
      <c r="F9" s="96">
        <f t="shared" ref="F9:J10" si="2">$C9*$D9*12*F$4</f>
        <v>94500</v>
      </c>
      <c r="G9" s="96">
        <f t="shared" si="2"/>
        <v>99225</v>
      </c>
      <c r="H9" s="96">
        <f t="shared" si="2"/>
        <v>104186.25000000001</v>
      </c>
      <c r="I9" s="96">
        <f t="shared" si="2"/>
        <v>109395.56250000001</v>
      </c>
      <c r="J9" s="96">
        <f t="shared" si="2"/>
        <v>114865.34062500003</v>
      </c>
      <c r="K9" s="96">
        <f>$C9*$D9*12*K$4</f>
        <v>120608.60765625004</v>
      </c>
    </row>
    <row r="10" spans="1:12">
      <c r="A10" s="95" t="s">
        <v>735</v>
      </c>
      <c r="B10" s="95" t="s">
        <v>400</v>
      </c>
      <c r="C10" s="99">
        <v>5</v>
      </c>
      <c r="D10" s="414">
        <v>9000</v>
      </c>
      <c r="E10" s="96">
        <f>$C10*$D10*12*E$4</f>
        <v>540000</v>
      </c>
      <c r="F10" s="96">
        <f t="shared" si="2"/>
        <v>567000</v>
      </c>
      <c r="G10" s="96">
        <f t="shared" si="2"/>
        <v>595350</v>
      </c>
      <c r="H10" s="96">
        <f t="shared" si="2"/>
        <v>625117.50000000012</v>
      </c>
      <c r="I10" s="96">
        <f t="shared" si="2"/>
        <v>656373.37500000012</v>
      </c>
      <c r="J10" s="96">
        <f t="shared" si="2"/>
        <v>689192.04375000019</v>
      </c>
      <c r="K10" s="96"/>
    </row>
    <row r="11" spans="1:12">
      <c r="A11" s="95" t="s">
        <v>737</v>
      </c>
      <c r="B11" s="95" t="s">
        <v>401</v>
      </c>
      <c r="C11" s="99">
        <v>12</v>
      </c>
      <c r="D11" s="414">
        <v>65000</v>
      </c>
      <c r="E11" s="96">
        <f>$C11*$D11*E$4</f>
        <v>780000</v>
      </c>
      <c r="F11" s="96">
        <f t="shared" ref="F11:J16" si="3">$C11*$D11*F$4</f>
        <v>819000</v>
      </c>
      <c r="G11" s="96">
        <f t="shared" si="3"/>
        <v>859950</v>
      </c>
      <c r="H11" s="96">
        <f t="shared" si="3"/>
        <v>902947.50000000012</v>
      </c>
      <c r="I11" s="96">
        <f t="shared" si="3"/>
        <v>948094.87500000023</v>
      </c>
      <c r="J11" s="96">
        <f t="shared" si="3"/>
        <v>995499.61875000026</v>
      </c>
      <c r="K11" s="96">
        <f t="shared" ref="K11:K16" si="4">$C11*$D11*K$4</f>
        <v>1045274.5996875003</v>
      </c>
    </row>
    <row r="12" spans="1:12">
      <c r="A12" s="95" t="s">
        <v>131</v>
      </c>
      <c r="B12" s="95" t="s">
        <v>401</v>
      </c>
      <c r="C12" s="99">
        <v>12</v>
      </c>
      <c r="D12" s="414">
        <v>2500</v>
      </c>
      <c r="E12" s="96">
        <f>$C12*$D12*E$4</f>
        <v>30000</v>
      </c>
      <c r="F12" s="96">
        <f t="shared" si="3"/>
        <v>31500</v>
      </c>
      <c r="G12" s="96">
        <f t="shared" si="3"/>
        <v>33075</v>
      </c>
      <c r="H12" s="96">
        <f t="shared" si="3"/>
        <v>34728.750000000007</v>
      </c>
      <c r="I12" s="96">
        <f t="shared" si="3"/>
        <v>36465.187500000007</v>
      </c>
      <c r="J12" s="96">
        <f t="shared" si="3"/>
        <v>38288.446875000009</v>
      </c>
      <c r="K12" s="96">
        <f t="shared" si="4"/>
        <v>40202.869218750013</v>
      </c>
    </row>
    <row r="13" spans="1:12">
      <c r="A13" s="95" t="s">
        <v>10</v>
      </c>
      <c r="B13" s="95" t="s">
        <v>401</v>
      </c>
      <c r="C13" s="99">
        <v>12</v>
      </c>
      <c r="D13" s="414">
        <v>27500</v>
      </c>
      <c r="E13" s="96">
        <f t="shared" ref="E13:E16" si="5">$C13*$D13*E$4</f>
        <v>330000</v>
      </c>
      <c r="F13" s="96">
        <f t="shared" si="3"/>
        <v>346500</v>
      </c>
      <c r="G13" s="96">
        <f t="shared" si="3"/>
        <v>363825</v>
      </c>
      <c r="H13" s="96">
        <f t="shared" si="3"/>
        <v>382016.25000000006</v>
      </c>
      <c r="I13" s="96">
        <f t="shared" si="3"/>
        <v>401117.06250000006</v>
      </c>
      <c r="J13" s="96">
        <f t="shared" si="3"/>
        <v>421172.91562500014</v>
      </c>
      <c r="K13" s="96">
        <f t="shared" si="4"/>
        <v>442231.56140625011</v>
      </c>
    </row>
    <row r="14" spans="1:12">
      <c r="A14" s="95" t="s">
        <v>191</v>
      </c>
      <c r="B14" s="95" t="s">
        <v>401</v>
      </c>
      <c r="C14" s="99">
        <v>12</v>
      </c>
      <c r="D14" s="414">
        <v>2200</v>
      </c>
      <c r="E14" s="96">
        <f t="shared" si="5"/>
        <v>26400</v>
      </c>
      <c r="F14" s="96">
        <f t="shared" si="3"/>
        <v>27720</v>
      </c>
      <c r="G14" s="96">
        <f t="shared" si="3"/>
        <v>29106</v>
      </c>
      <c r="H14" s="96">
        <f t="shared" si="3"/>
        <v>30561.300000000003</v>
      </c>
      <c r="I14" s="96">
        <f t="shared" si="3"/>
        <v>32089.365000000005</v>
      </c>
      <c r="J14" s="96">
        <f t="shared" si="3"/>
        <v>33693.833250000011</v>
      </c>
      <c r="K14" s="96">
        <f t="shared" si="4"/>
        <v>35378.524912500012</v>
      </c>
    </row>
    <row r="15" spans="1:12">
      <c r="A15" s="95" t="s">
        <v>162</v>
      </c>
      <c r="B15" s="95" t="s">
        <v>401</v>
      </c>
      <c r="C15" s="99">
        <v>12</v>
      </c>
      <c r="D15" s="414">
        <v>0</v>
      </c>
      <c r="E15" s="96">
        <f t="shared" si="5"/>
        <v>0</v>
      </c>
      <c r="F15" s="96">
        <f t="shared" si="3"/>
        <v>0</v>
      </c>
      <c r="G15" s="96">
        <f t="shared" si="3"/>
        <v>0</v>
      </c>
      <c r="H15" s="96">
        <f t="shared" si="3"/>
        <v>0</v>
      </c>
      <c r="I15" s="96">
        <f t="shared" si="3"/>
        <v>0</v>
      </c>
      <c r="J15" s="96">
        <f t="shared" si="3"/>
        <v>0</v>
      </c>
      <c r="K15" s="96">
        <f t="shared" si="4"/>
        <v>0</v>
      </c>
    </row>
    <row r="16" spans="1:12">
      <c r="A16" s="95" t="s">
        <v>192</v>
      </c>
      <c r="B16" s="95" t="s">
        <v>401</v>
      </c>
      <c r="C16" s="99">
        <v>12</v>
      </c>
      <c r="D16" s="414">
        <v>15000</v>
      </c>
      <c r="E16" s="96">
        <f t="shared" si="5"/>
        <v>180000</v>
      </c>
      <c r="F16" s="96">
        <f t="shared" si="3"/>
        <v>189000</v>
      </c>
      <c r="G16" s="96">
        <f t="shared" si="3"/>
        <v>198450</v>
      </c>
      <c r="H16" s="96">
        <f t="shared" si="3"/>
        <v>208372.50000000003</v>
      </c>
      <c r="I16" s="96">
        <f t="shared" si="3"/>
        <v>218791.12500000003</v>
      </c>
      <c r="J16" s="96">
        <f t="shared" si="3"/>
        <v>229730.68125000005</v>
      </c>
      <c r="K16" s="96">
        <f t="shared" si="4"/>
        <v>241217.21531250008</v>
      </c>
    </row>
    <row r="17" spans="1:20">
      <c r="A17" s="95" t="s">
        <v>193</v>
      </c>
      <c r="B17" s="95" t="s">
        <v>402</v>
      </c>
      <c r="C17" s="99">
        <v>1</v>
      </c>
      <c r="D17" s="414">
        <v>40000</v>
      </c>
      <c r="E17" s="96">
        <f>$D17*E$4*$C17</f>
        <v>40000</v>
      </c>
      <c r="F17" s="96">
        <f t="shared" ref="F17:J22" si="6">$D17*F$4*$C17</f>
        <v>42000</v>
      </c>
      <c r="G17" s="96">
        <f t="shared" si="6"/>
        <v>44100</v>
      </c>
      <c r="H17" s="96">
        <f t="shared" si="6"/>
        <v>46305.000000000007</v>
      </c>
      <c r="I17" s="96">
        <f t="shared" si="6"/>
        <v>48620.250000000007</v>
      </c>
      <c r="J17" s="96">
        <f t="shared" si="6"/>
        <v>51051.262500000012</v>
      </c>
      <c r="K17" s="96">
        <f t="shared" ref="K17:K22" si="7">$D17*K$4*$C17</f>
        <v>53603.825625000019</v>
      </c>
    </row>
    <row r="18" spans="1:20">
      <c r="A18" s="95" t="s">
        <v>716</v>
      </c>
      <c r="B18" s="95" t="s">
        <v>402</v>
      </c>
      <c r="C18" s="99">
        <v>1</v>
      </c>
      <c r="D18" s="414">
        <v>75000</v>
      </c>
      <c r="E18" s="96">
        <f t="shared" ref="E18:E22" si="8">$D18*E$4*$C18</f>
        <v>75000</v>
      </c>
      <c r="F18" s="96">
        <f t="shared" si="6"/>
        <v>78750</v>
      </c>
      <c r="G18" s="96">
        <f t="shared" si="6"/>
        <v>82687.5</v>
      </c>
      <c r="H18" s="96">
        <f t="shared" si="6"/>
        <v>86821.875000000015</v>
      </c>
      <c r="I18" s="96">
        <f t="shared" si="6"/>
        <v>91162.968750000015</v>
      </c>
      <c r="J18" s="96">
        <f t="shared" si="6"/>
        <v>95721.117187500029</v>
      </c>
      <c r="K18" s="96">
        <f t="shared" si="7"/>
        <v>100507.17304687503</v>
      </c>
    </row>
    <row r="19" spans="1:20">
      <c r="A19" s="95" t="s">
        <v>717</v>
      </c>
      <c r="B19" s="95" t="s">
        <v>402</v>
      </c>
      <c r="C19" s="99">
        <v>1</v>
      </c>
      <c r="D19" s="414">
        <v>566650</v>
      </c>
      <c r="E19" s="96">
        <f t="shared" si="8"/>
        <v>566650</v>
      </c>
      <c r="F19" s="96">
        <f t="shared" si="6"/>
        <v>594982.5</v>
      </c>
      <c r="G19" s="96">
        <f t="shared" si="6"/>
        <v>624731.625</v>
      </c>
      <c r="H19" s="96">
        <f t="shared" si="6"/>
        <v>655968.20625000005</v>
      </c>
      <c r="I19" s="96">
        <f t="shared" si="6"/>
        <v>688766.61656250013</v>
      </c>
      <c r="J19" s="96">
        <f t="shared" si="6"/>
        <v>723204.94739062525</v>
      </c>
      <c r="K19" s="96">
        <f t="shared" si="7"/>
        <v>759365.19476015645</v>
      </c>
    </row>
    <row r="20" spans="1:20">
      <c r="A20" s="95" t="s">
        <v>718</v>
      </c>
      <c r="B20" s="95" t="s">
        <v>402</v>
      </c>
      <c r="C20" s="99">
        <v>1</v>
      </c>
      <c r="D20" s="414">
        <v>405000</v>
      </c>
      <c r="E20" s="96">
        <f t="shared" si="8"/>
        <v>405000</v>
      </c>
      <c r="F20" s="96">
        <f t="shared" si="6"/>
        <v>425250</v>
      </c>
      <c r="G20" s="96">
        <f t="shared" si="6"/>
        <v>446512.5</v>
      </c>
      <c r="H20" s="96">
        <f t="shared" si="6"/>
        <v>468838.12500000006</v>
      </c>
      <c r="I20" s="96">
        <f t="shared" si="6"/>
        <v>492280.03125000012</v>
      </c>
      <c r="J20" s="96">
        <f t="shared" si="6"/>
        <v>516894.03281250014</v>
      </c>
      <c r="K20" s="96">
        <f t="shared" si="7"/>
        <v>542738.73445312516</v>
      </c>
    </row>
    <row r="21" spans="1:20">
      <c r="A21" s="95" t="s">
        <v>719</v>
      </c>
      <c r="B21" s="95" t="s">
        <v>402</v>
      </c>
      <c r="C21" s="99">
        <v>1</v>
      </c>
      <c r="D21" s="414">
        <v>350000</v>
      </c>
      <c r="E21" s="96">
        <f t="shared" si="8"/>
        <v>350000</v>
      </c>
      <c r="F21" s="96">
        <f t="shared" si="6"/>
        <v>367500</v>
      </c>
      <c r="G21" s="96">
        <f t="shared" si="6"/>
        <v>385875</v>
      </c>
      <c r="H21" s="96">
        <f t="shared" si="6"/>
        <v>405168.75000000006</v>
      </c>
      <c r="I21" s="96">
        <f t="shared" si="6"/>
        <v>425427.18750000006</v>
      </c>
      <c r="J21" s="96">
        <f t="shared" si="6"/>
        <v>446698.54687500012</v>
      </c>
      <c r="K21" s="96">
        <f t="shared" si="7"/>
        <v>469033.47421875014</v>
      </c>
    </row>
    <row r="22" spans="1:20">
      <c r="A22" s="95"/>
      <c r="B22" s="95" t="s">
        <v>402</v>
      </c>
      <c r="C22" s="99"/>
      <c r="D22" s="185">
        <v>0</v>
      </c>
      <c r="E22" s="96">
        <f t="shared" si="8"/>
        <v>0</v>
      </c>
      <c r="F22" s="96">
        <f t="shared" si="6"/>
        <v>0</v>
      </c>
      <c r="G22" s="96">
        <f t="shared" si="6"/>
        <v>0</v>
      </c>
      <c r="H22" s="96">
        <f t="shared" si="6"/>
        <v>0</v>
      </c>
      <c r="I22" s="96">
        <f t="shared" si="6"/>
        <v>0</v>
      </c>
      <c r="J22" s="96">
        <f t="shared" si="6"/>
        <v>0</v>
      </c>
      <c r="K22" s="96">
        <f t="shared" si="7"/>
        <v>0</v>
      </c>
    </row>
    <row r="23" spans="1:20">
      <c r="A23" s="97" t="s">
        <v>132</v>
      </c>
      <c r="B23" s="97"/>
      <c r="C23" s="97"/>
      <c r="D23" s="115"/>
      <c r="E23" s="115">
        <f t="shared" ref="E23:K23" si="9">SUM(E8:E22)</f>
        <v>3893050</v>
      </c>
      <c r="F23" s="115">
        <f t="shared" si="9"/>
        <v>4087702.5</v>
      </c>
      <c r="G23" s="115">
        <f t="shared" si="9"/>
        <v>4292087.625</v>
      </c>
      <c r="H23" s="115">
        <f t="shared" si="9"/>
        <v>4506692.0062500006</v>
      </c>
      <c r="I23" s="115">
        <f t="shared" si="9"/>
        <v>4732026.6065625008</v>
      </c>
      <c r="J23" s="115">
        <f t="shared" si="9"/>
        <v>4968627.9368906263</v>
      </c>
      <c r="K23" s="115">
        <f t="shared" si="9"/>
        <v>4493407.6877976572</v>
      </c>
    </row>
    <row r="28" spans="1:20" ht="20.25">
      <c r="A28" s="452" t="s">
        <v>576</v>
      </c>
      <c r="B28" s="452"/>
      <c r="C28" s="452"/>
      <c r="D28" s="452"/>
      <c r="E28" s="452"/>
      <c r="F28" s="452"/>
      <c r="G28" s="452"/>
      <c r="H28" s="452"/>
      <c r="I28" s="452"/>
      <c r="J28" s="380"/>
      <c r="K28" s="453" t="s">
        <v>576</v>
      </c>
      <c r="L28" s="453"/>
      <c r="M28" s="453"/>
      <c r="N28" s="453"/>
      <c r="O28" s="453"/>
      <c r="P28" s="453"/>
      <c r="Q28" s="453"/>
      <c r="R28" s="453"/>
      <c r="S28" s="415"/>
      <c r="T28" s="380"/>
    </row>
    <row r="29" spans="1:20" s="13" customFormat="1" ht="21">
      <c r="A29" s="376"/>
      <c r="B29" s="376"/>
      <c r="C29" s="376"/>
      <c r="D29" s="376"/>
      <c r="E29" s="376"/>
      <c r="F29" s="376"/>
      <c r="G29" s="376"/>
      <c r="H29" s="376"/>
      <c r="I29" s="376"/>
      <c r="J29" s="376"/>
      <c r="K29" s="376"/>
      <c r="L29" s="399"/>
      <c r="M29" s="399"/>
      <c r="N29" s="399"/>
      <c r="O29" s="399"/>
      <c r="P29" s="399"/>
      <c r="Q29" s="400"/>
      <c r="R29" s="400"/>
      <c r="S29" s="400"/>
    </row>
    <row r="30" spans="1:20" ht="23.25">
      <c r="A30" s="387"/>
      <c r="B30" s="387"/>
      <c r="C30" s="450" t="s">
        <v>196</v>
      </c>
      <c r="D30" s="450"/>
      <c r="E30" s="450"/>
      <c r="F30" s="450"/>
      <c r="G30" s="450"/>
      <c r="H30" s="450"/>
      <c r="I30" s="450"/>
      <c r="J30" s="377"/>
      <c r="K30" s="377"/>
      <c r="L30" s="451" t="s">
        <v>197</v>
      </c>
      <c r="M30" s="451"/>
      <c r="N30" s="451"/>
      <c r="O30" s="451"/>
      <c r="P30" s="451"/>
      <c r="Q30" s="451"/>
      <c r="R30" s="451"/>
      <c r="S30" s="401"/>
    </row>
    <row r="31" spans="1:20" ht="23.25">
      <c r="A31" s="388" t="s">
        <v>0</v>
      </c>
      <c r="B31" s="389"/>
      <c r="C31" s="390" t="s">
        <v>2</v>
      </c>
      <c r="D31" s="390" t="s">
        <v>3</v>
      </c>
      <c r="E31" s="390" t="s">
        <v>4</v>
      </c>
      <c r="F31" s="390" t="s">
        <v>5</v>
      </c>
      <c r="G31" s="390" t="s">
        <v>6</v>
      </c>
      <c r="H31" s="390" t="s">
        <v>171</v>
      </c>
      <c r="I31" s="390" t="s">
        <v>170</v>
      </c>
      <c r="J31" s="378"/>
      <c r="K31" s="388" t="s">
        <v>0</v>
      </c>
      <c r="L31" s="382" t="s">
        <v>2</v>
      </c>
      <c r="M31" s="382" t="s">
        <v>3</v>
      </c>
      <c r="N31" s="382" t="s">
        <v>4</v>
      </c>
      <c r="O31" s="382" t="s">
        <v>5</v>
      </c>
      <c r="P31" s="382" t="s">
        <v>6</v>
      </c>
      <c r="Q31" s="382" t="s">
        <v>171</v>
      </c>
      <c r="R31" s="382" t="s">
        <v>170</v>
      </c>
      <c r="S31" s="401"/>
    </row>
    <row r="32" spans="1:20" ht="23.25">
      <c r="A32" s="391" t="s">
        <v>198</v>
      </c>
      <c r="B32" s="392"/>
      <c r="C32" s="392"/>
      <c r="D32" s="392"/>
      <c r="E32" s="392"/>
      <c r="F32" s="392"/>
      <c r="G32" s="393"/>
      <c r="H32" s="393"/>
      <c r="I32" s="393"/>
      <c r="J32" s="379"/>
      <c r="K32" s="391" t="s">
        <v>198</v>
      </c>
      <c r="L32" s="383"/>
      <c r="M32" s="383"/>
      <c r="N32" s="383"/>
      <c r="O32" s="383"/>
      <c r="P32" s="384"/>
      <c r="Q32" s="384"/>
      <c r="R32" s="384"/>
      <c r="S32" s="401"/>
    </row>
    <row r="33" spans="1:19" ht="23.25">
      <c r="A33" s="391"/>
      <c r="B33" s="392"/>
      <c r="C33" s="392"/>
      <c r="D33" s="392"/>
      <c r="E33" s="392"/>
      <c r="F33" s="392"/>
      <c r="G33" s="393"/>
      <c r="H33" s="393"/>
      <c r="I33" s="393"/>
      <c r="J33" s="379"/>
      <c r="K33" s="391"/>
      <c r="L33" s="383"/>
      <c r="M33" s="383"/>
      <c r="N33" s="383"/>
      <c r="O33" s="383"/>
      <c r="P33" s="384"/>
      <c r="Q33" s="384"/>
      <c r="R33" s="384"/>
      <c r="S33" s="401"/>
    </row>
    <row r="34" spans="1:19" ht="23.25">
      <c r="A34" s="394" t="s">
        <v>202</v>
      </c>
      <c r="B34" s="394"/>
      <c r="C34" s="392"/>
      <c r="D34" s="392"/>
      <c r="E34" s="392"/>
      <c r="F34" s="392"/>
      <c r="G34" s="392"/>
      <c r="H34" s="392"/>
      <c r="I34" s="392"/>
      <c r="J34" s="379"/>
      <c r="K34" s="394" t="s">
        <v>202</v>
      </c>
      <c r="L34" s="383"/>
      <c r="M34" s="383"/>
      <c r="N34" s="383"/>
      <c r="O34" s="383"/>
      <c r="P34" s="383"/>
      <c r="Q34" s="383"/>
      <c r="R34" s="383"/>
      <c r="S34" s="401"/>
    </row>
    <row r="35" spans="1:19" ht="23.25">
      <c r="A35" s="395" t="s">
        <v>199</v>
      </c>
      <c r="B35" s="395"/>
      <c r="C35" s="396">
        <f>'1.Project Cost and MOF'!D5</f>
        <v>25667481</v>
      </c>
      <c r="D35" s="396">
        <f t="shared" ref="D35:I35" si="10">C38</f>
        <v>24853821.852299999</v>
      </c>
      <c r="E35" s="396">
        <f t="shared" si="10"/>
        <v>24040162.704599999</v>
      </c>
      <c r="F35" s="396">
        <f t="shared" si="10"/>
        <v>23226503.556899998</v>
      </c>
      <c r="G35" s="396">
        <f t="shared" si="10"/>
        <v>22412844.409199998</v>
      </c>
      <c r="H35" s="396">
        <f t="shared" si="10"/>
        <v>21599185.261499997</v>
      </c>
      <c r="I35" s="396">
        <f t="shared" si="10"/>
        <v>20785526.113799997</v>
      </c>
      <c r="J35" s="379"/>
      <c r="K35" s="395" t="s">
        <v>199</v>
      </c>
      <c r="L35" s="385">
        <f>C35</f>
        <v>25667481</v>
      </c>
      <c r="M35" s="385">
        <f t="shared" ref="M35:R35" si="11">L38</f>
        <v>23100732.899999999</v>
      </c>
      <c r="N35" s="385">
        <f t="shared" si="11"/>
        <v>20790659.609999999</v>
      </c>
      <c r="O35" s="385">
        <f t="shared" si="11"/>
        <v>18711593.649</v>
      </c>
      <c r="P35" s="385">
        <f t="shared" si="11"/>
        <v>16840434.2841</v>
      </c>
      <c r="Q35" s="385">
        <f t="shared" si="11"/>
        <v>15156390.855689999</v>
      </c>
      <c r="R35" s="385">
        <f t="shared" si="11"/>
        <v>13640751.770120999</v>
      </c>
      <c r="S35" s="401"/>
    </row>
    <row r="36" spans="1:19" ht="23.25">
      <c r="A36" s="395" t="s">
        <v>17</v>
      </c>
      <c r="B36" s="395"/>
      <c r="C36" s="396">
        <f t="shared" ref="C36:I36" si="12">$C$35*$B$72</f>
        <v>813659.14769999997</v>
      </c>
      <c r="D36" s="396">
        <f t="shared" si="12"/>
        <v>813659.14769999997</v>
      </c>
      <c r="E36" s="396">
        <f t="shared" si="12"/>
        <v>813659.14769999997</v>
      </c>
      <c r="F36" s="396">
        <f t="shared" si="12"/>
        <v>813659.14769999997</v>
      </c>
      <c r="G36" s="396">
        <f t="shared" si="12"/>
        <v>813659.14769999997</v>
      </c>
      <c r="H36" s="396">
        <f t="shared" si="12"/>
        <v>813659.14769999997</v>
      </c>
      <c r="I36" s="396">
        <f t="shared" si="12"/>
        <v>813659.14769999997</v>
      </c>
      <c r="J36" s="379"/>
      <c r="K36" s="395" t="s">
        <v>17</v>
      </c>
      <c r="L36" s="385">
        <f t="shared" ref="L36:R36" si="13">L35*$C$72</f>
        <v>2566748.1</v>
      </c>
      <c r="M36" s="385">
        <f t="shared" si="13"/>
        <v>2310073.29</v>
      </c>
      <c r="N36" s="385">
        <f t="shared" si="13"/>
        <v>2079065.9610000001</v>
      </c>
      <c r="O36" s="385">
        <f t="shared" si="13"/>
        <v>1871159.3649000002</v>
      </c>
      <c r="P36" s="385">
        <f t="shared" si="13"/>
        <v>1684043.4284100002</v>
      </c>
      <c r="Q36" s="385">
        <f t="shared" si="13"/>
        <v>1515639.0855689999</v>
      </c>
      <c r="R36" s="385">
        <f t="shared" si="13"/>
        <v>1364075.1770120999</v>
      </c>
      <c r="S36" s="401"/>
    </row>
    <row r="37" spans="1:19" ht="23.25">
      <c r="A37" s="395" t="s">
        <v>200</v>
      </c>
      <c r="B37" s="395"/>
      <c r="C37" s="396">
        <f>C36</f>
        <v>813659.14769999997</v>
      </c>
      <c r="D37" s="396">
        <f t="shared" ref="D37:I37" si="14">C37+D36</f>
        <v>1627318.2953999999</v>
      </c>
      <c r="E37" s="396">
        <f t="shared" si="14"/>
        <v>2440977.4430999998</v>
      </c>
      <c r="F37" s="396">
        <f t="shared" si="14"/>
        <v>3254636.5907999999</v>
      </c>
      <c r="G37" s="396">
        <f t="shared" si="14"/>
        <v>4068295.7385</v>
      </c>
      <c r="H37" s="396">
        <f t="shared" si="14"/>
        <v>4881954.8861999996</v>
      </c>
      <c r="I37" s="396">
        <f t="shared" si="14"/>
        <v>5695614.0338999992</v>
      </c>
      <c r="J37" s="379"/>
      <c r="K37" s="395" t="s">
        <v>200</v>
      </c>
      <c r="L37" s="385">
        <f>L36</f>
        <v>2566748.1</v>
      </c>
      <c r="M37" s="385">
        <f t="shared" ref="M37:R37" si="15">L37+M36</f>
        <v>4876821.3900000006</v>
      </c>
      <c r="N37" s="385">
        <f t="shared" si="15"/>
        <v>6955887.3510000007</v>
      </c>
      <c r="O37" s="385">
        <f t="shared" si="15"/>
        <v>8827046.7159000002</v>
      </c>
      <c r="P37" s="385">
        <f t="shared" si="15"/>
        <v>10511090.144310001</v>
      </c>
      <c r="Q37" s="385">
        <f t="shared" si="15"/>
        <v>12026729.229879001</v>
      </c>
      <c r="R37" s="385">
        <f t="shared" si="15"/>
        <v>13390804.4068911</v>
      </c>
      <c r="S37" s="401"/>
    </row>
    <row r="38" spans="1:19" ht="23.25">
      <c r="A38" s="395" t="s">
        <v>201</v>
      </c>
      <c r="B38" s="395"/>
      <c r="C38" s="396">
        <f t="shared" ref="C38:I38" si="16">C35-C36</f>
        <v>24853821.852299999</v>
      </c>
      <c r="D38" s="396">
        <f t="shared" si="16"/>
        <v>24040162.704599999</v>
      </c>
      <c r="E38" s="396">
        <f t="shared" si="16"/>
        <v>23226503.556899998</v>
      </c>
      <c r="F38" s="396">
        <f t="shared" si="16"/>
        <v>22412844.409199998</v>
      </c>
      <c r="G38" s="396">
        <f t="shared" si="16"/>
        <v>21599185.261499997</v>
      </c>
      <c r="H38" s="396">
        <f t="shared" si="16"/>
        <v>20785526.113799997</v>
      </c>
      <c r="I38" s="396">
        <f t="shared" si="16"/>
        <v>19971866.966099996</v>
      </c>
      <c r="J38" s="379"/>
      <c r="K38" s="395" t="s">
        <v>201</v>
      </c>
      <c r="L38" s="385">
        <f t="shared" ref="L38:R38" si="17">L35-L36</f>
        <v>23100732.899999999</v>
      </c>
      <c r="M38" s="385">
        <f t="shared" si="17"/>
        <v>20790659.609999999</v>
      </c>
      <c r="N38" s="385">
        <f t="shared" si="17"/>
        <v>18711593.649</v>
      </c>
      <c r="O38" s="385">
        <f t="shared" si="17"/>
        <v>16840434.2841</v>
      </c>
      <c r="P38" s="385">
        <f t="shared" si="17"/>
        <v>15156390.855689999</v>
      </c>
      <c r="Q38" s="385">
        <f t="shared" si="17"/>
        <v>13640751.770120999</v>
      </c>
      <c r="R38" s="385">
        <f t="shared" si="17"/>
        <v>12276676.5931089</v>
      </c>
      <c r="S38" s="401"/>
    </row>
    <row r="39" spans="1:19" ht="23.25">
      <c r="A39" s="395"/>
      <c r="B39" s="395"/>
      <c r="C39" s="396"/>
      <c r="D39" s="396"/>
      <c r="E39" s="396"/>
      <c r="F39" s="396"/>
      <c r="G39" s="396"/>
      <c r="H39" s="396"/>
      <c r="I39" s="396"/>
      <c r="J39" s="379"/>
      <c r="K39" s="395"/>
      <c r="L39" s="385"/>
      <c r="M39" s="385"/>
      <c r="N39" s="385"/>
      <c r="O39" s="385"/>
      <c r="P39" s="385"/>
      <c r="Q39" s="385"/>
      <c r="R39" s="385"/>
      <c r="S39" s="401"/>
    </row>
    <row r="40" spans="1:19" ht="23.25">
      <c r="A40" s="394" t="s">
        <v>203</v>
      </c>
      <c r="B40" s="394"/>
      <c r="C40" s="396"/>
      <c r="D40" s="396"/>
      <c r="E40" s="396"/>
      <c r="F40" s="396"/>
      <c r="G40" s="396"/>
      <c r="H40" s="396"/>
      <c r="I40" s="396"/>
      <c r="J40" s="379"/>
      <c r="K40" s="394" t="s">
        <v>203</v>
      </c>
      <c r="L40" s="385"/>
      <c r="M40" s="385"/>
      <c r="N40" s="385"/>
      <c r="O40" s="385"/>
      <c r="P40" s="385"/>
      <c r="Q40" s="385"/>
      <c r="R40" s="385"/>
      <c r="S40" s="401"/>
    </row>
    <row r="41" spans="1:19" ht="23.25">
      <c r="A41" s="395" t="s">
        <v>199</v>
      </c>
      <c r="B41" s="395"/>
      <c r="C41" s="396">
        <f>'1.Project Cost and MOF'!D6</f>
        <v>5873400</v>
      </c>
      <c r="D41" s="396">
        <f t="shared" ref="D41:I41" si="18">C44</f>
        <v>5501613.7800000003</v>
      </c>
      <c r="E41" s="396">
        <f t="shared" si="18"/>
        <v>5129827.5600000005</v>
      </c>
      <c r="F41" s="396">
        <f t="shared" si="18"/>
        <v>4758041.3400000008</v>
      </c>
      <c r="G41" s="396">
        <f t="shared" si="18"/>
        <v>4386255.120000001</v>
      </c>
      <c r="H41" s="396">
        <f t="shared" si="18"/>
        <v>4014468.9000000013</v>
      </c>
      <c r="I41" s="396">
        <f t="shared" si="18"/>
        <v>3642682.6800000016</v>
      </c>
      <c r="J41" s="379"/>
      <c r="K41" s="395" t="s">
        <v>199</v>
      </c>
      <c r="L41" s="385">
        <f>C41</f>
        <v>5873400</v>
      </c>
      <c r="M41" s="385">
        <f t="shared" ref="M41:R41" si="19">L44</f>
        <v>4992390</v>
      </c>
      <c r="N41" s="385">
        <f t="shared" si="19"/>
        <v>4243531.5</v>
      </c>
      <c r="O41" s="385">
        <f t="shared" si="19"/>
        <v>3607001.7749999999</v>
      </c>
      <c r="P41" s="385">
        <f t="shared" si="19"/>
        <v>3065951.50875</v>
      </c>
      <c r="Q41" s="385">
        <f t="shared" si="19"/>
        <v>2606058.7824375001</v>
      </c>
      <c r="R41" s="385">
        <f t="shared" si="19"/>
        <v>2215149.9650718751</v>
      </c>
      <c r="S41" s="401"/>
    </row>
    <row r="42" spans="1:19" ht="23.25">
      <c r="A42" s="395" t="s">
        <v>17</v>
      </c>
      <c r="B42" s="395"/>
      <c r="C42" s="396">
        <f t="shared" ref="C42:I42" si="20">$C$41*$B$76</f>
        <v>371786.22</v>
      </c>
      <c r="D42" s="396">
        <f t="shared" si="20"/>
        <v>371786.22</v>
      </c>
      <c r="E42" s="396">
        <f t="shared" si="20"/>
        <v>371786.22</v>
      </c>
      <c r="F42" s="396">
        <f t="shared" si="20"/>
        <v>371786.22</v>
      </c>
      <c r="G42" s="396">
        <f t="shared" si="20"/>
        <v>371786.22</v>
      </c>
      <c r="H42" s="396">
        <f t="shared" si="20"/>
        <v>371786.22</v>
      </c>
      <c r="I42" s="396">
        <f t="shared" si="20"/>
        <v>371786.22</v>
      </c>
      <c r="J42" s="379"/>
      <c r="K42" s="395" t="s">
        <v>17</v>
      </c>
      <c r="L42" s="385">
        <f>L41*$C$76</f>
        <v>881010</v>
      </c>
      <c r="M42" s="385">
        <f t="shared" ref="M42:R42" si="21">M41*$C$76</f>
        <v>748858.5</v>
      </c>
      <c r="N42" s="385">
        <f t="shared" si="21"/>
        <v>636529.72499999998</v>
      </c>
      <c r="O42" s="385">
        <f t="shared" si="21"/>
        <v>541050.26624999999</v>
      </c>
      <c r="P42" s="385">
        <f t="shared" si="21"/>
        <v>459892.72631250002</v>
      </c>
      <c r="Q42" s="385">
        <f t="shared" si="21"/>
        <v>390908.817365625</v>
      </c>
      <c r="R42" s="385">
        <f t="shared" si="21"/>
        <v>332272.49476078124</v>
      </c>
      <c r="S42" s="401"/>
    </row>
    <row r="43" spans="1:19" ht="23.25">
      <c r="A43" s="395" t="s">
        <v>200</v>
      </c>
      <c r="B43" s="395"/>
      <c r="C43" s="396">
        <f>C42</f>
        <v>371786.22</v>
      </c>
      <c r="D43" s="396">
        <f t="shared" ref="D43:I43" si="22">C43+D42</f>
        <v>743572.44</v>
      </c>
      <c r="E43" s="396">
        <f t="shared" si="22"/>
        <v>1115358.6599999999</v>
      </c>
      <c r="F43" s="396">
        <f t="shared" si="22"/>
        <v>1487144.88</v>
      </c>
      <c r="G43" s="396">
        <f t="shared" si="22"/>
        <v>1858931.0999999999</v>
      </c>
      <c r="H43" s="396">
        <f t="shared" si="22"/>
        <v>2230717.3199999998</v>
      </c>
      <c r="I43" s="396">
        <f t="shared" si="22"/>
        <v>2602503.54</v>
      </c>
      <c r="J43" s="379"/>
      <c r="K43" s="395" t="s">
        <v>200</v>
      </c>
      <c r="L43" s="385">
        <f>L42</f>
        <v>881010</v>
      </c>
      <c r="M43" s="385">
        <f t="shared" ref="M43:R43" si="23">L43+M42</f>
        <v>1629868.5</v>
      </c>
      <c r="N43" s="385">
        <f t="shared" si="23"/>
        <v>2266398.2250000001</v>
      </c>
      <c r="O43" s="385">
        <f t="shared" si="23"/>
        <v>2807448.49125</v>
      </c>
      <c r="P43" s="385">
        <f t="shared" si="23"/>
        <v>3267341.2175624999</v>
      </c>
      <c r="Q43" s="385">
        <f t="shared" si="23"/>
        <v>3658250.0349281249</v>
      </c>
      <c r="R43" s="385">
        <f t="shared" si="23"/>
        <v>3990522.5296889059</v>
      </c>
      <c r="S43" s="401"/>
    </row>
    <row r="44" spans="1:19" ht="23.25">
      <c r="A44" s="395" t="s">
        <v>201</v>
      </c>
      <c r="B44" s="395"/>
      <c r="C44" s="396">
        <f t="shared" ref="C44:I44" si="24">C41-C42</f>
        <v>5501613.7800000003</v>
      </c>
      <c r="D44" s="396">
        <f t="shared" si="24"/>
        <v>5129827.5600000005</v>
      </c>
      <c r="E44" s="396">
        <f t="shared" si="24"/>
        <v>4758041.3400000008</v>
      </c>
      <c r="F44" s="396">
        <f t="shared" si="24"/>
        <v>4386255.120000001</v>
      </c>
      <c r="G44" s="396">
        <f t="shared" si="24"/>
        <v>4014468.9000000013</v>
      </c>
      <c r="H44" s="396">
        <f t="shared" si="24"/>
        <v>3642682.6800000016</v>
      </c>
      <c r="I44" s="396">
        <f t="shared" si="24"/>
        <v>3270896.4600000018</v>
      </c>
      <c r="J44" s="379"/>
      <c r="K44" s="395" t="s">
        <v>201</v>
      </c>
      <c r="L44" s="385">
        <f t="shared" ref="L44:R44" si="25">L41-L42</f>
        <v>4992390</v>
      </c>
      <c r="M44" s="385">
        <f t="shared" si="25"/>
        <v>4243531.5</v>
      </c>
      <c r="N44" s="385">
        <f t="shared" si="25"/>
        <v>3607001.7749999999</v>
      </c>
      <c r="O44" s="385">
        <f t="shared" si="25"/>
        <v>3065951.50875</v>
      </c>
      <c r="P44" s="385">
        <f t="shared" si="25"/>
        <v>2606058.7824375001</v>
      </c>
      <c r="Q44" s="385">
        <f t="shared" si="25"/>
        <v>2215149.9650718751</v>
      </c>
      <c r="R44" s="385">
        <f t="shared" si="25"/>
        <v>1882877.4703110938</v>
      </c>
      <c r="S44" s="401"/>
    </row>
    <row r="45" spans="1:19" ht="23.25">
      <c r="A45" s="395"/>
      <c r="B45" s="395"/>
      <c r="C45" s="396"/>
      <c r="D45" s="396"/>
      <c r="E45" s="396"/>
      <c r="F45" s="396"/>
      <c r="G45" s="396"/>
      <c r="H45" s="396"/>
      <c r="I45" s="396"/>
      <c r="J45" s="379"/>
      <c r="K45" s="395"/>
      <c r="L45" s="385"/>
      <c r="M45" s="385"/>
      <c r="N45" s="385"/>
      <c r="O45" s="385"/>
      <c r="P45" s="385"/>
      <c r="Q45" s="385"/>
      <c r="R45" s="385"/>
      <c r="S45" s="401"/>
    </row>
    <row r="46" spans="1:19" ht="23.25">
      <c r="A46" s="394" t="s">
        <v>204</v>
      </c>
      <c r="B46" s="394"/>
      <c r="C46" s="396"/>
      <c r="D46" s="396"/>
      <c r="E46" s="396"/>
      <c r="F46" s="396"/>
      <c r="G46" s="396"/>
      <c r="H46" s="396"/>
      <c r="I46" s="396"/>
      <c r="J46" s="379"/>
      <c r="K46" s="394" t="s">
        <v>204</v>
      </c>
      <c r="L46" s="385"/>
      <c r="M46" s="385"/>
      <c r="N46" s="385"/>
      <c r="O46" s="385"/>
      <c r="P46" s="385"/>
      <c r="Q46" s="385"/>
      <c r="R46" s="385"/>
      <c r="S46" s="401"/>
    </row>
    <row r="47" spans="1:19" ht="23.25">
      <c r="A47" s="395" t="s">
        <v>199</v>
      </c>
      <c r="B47" s="395"/>
      <c r="C47" s="396">
        <f>'1.Project Cost and MOF'!D7</f>
        <v>0</v>
      </c>
      <c r="D47" s="396">
        <f t="shared" ref="D47:I47" si="26">C50</f>
        <v>0</v>
      </c>
      <c r="E47" s="396">
        <f t="shared" si="26"/>
        <v>0</v>
      </c>
      <c r="F47" s="396">
        <f t="shared" si="26"/>
        <v>0</v>
      </c>
      <c r="G47" s="396">
        <f t="shared" si="26"/>
        <v>0</v>
      </c>
      <c r="H47" s="396">
        <f t="shared" si="26"/>
        <v>0</v>
      </c>
      <c r="I47" s="396">
        <f t="shared" si="26"/>
        <v>0</v>
      </c>
      <c r="J47" s="379"/>
      <c r="K47" s="395" t="s">
        <v>199</v>
      </c>
      <c r="L47" s="385">
        <f>C47</f>
        <v>0</v>
      </c>
      <c r="M47" s="385">
        <f t="shared" ref="M47:R47" si="27">L50</f>
        <v>0</v>
      </c>
      <c r="N47" s="385">
        <f t="shared" si="27"/>
        <v>0</v>
      </c>
      <c r="O47" s="385">
        <f t="shared" si="27"/>
        <v>0</v>
      </c>
      <c r="P47" s="385">
        <f t="shared" si="27"/>
        <v>0</v>
      </c>
      <c r="Q47" s="385">
        <f t="shared" si="27"/>
        <v>0</v>
      </c>
      <c r="R47" s="385">
        <f t="shared" si="27"/>
        <v>0</v>
      </c>
      <c r="S47" s="401"/>
    </row>
    <row r="48" spans="1:19" ht="23.25">
      <c r="A48" s="395" t="s">
        <v>17</v>
      </c>
      <c r="B48" s="395"/>
      <c r="C48" s="396">
        <f t="shared" ref="C48:I48" si="28">$C$47*$B$73</f>
        <v>0</v>
      </c>
      <c r="D48" s="396">
        <f t="shared" si="28"/>
        <v>0</v>
      </c>
      <c r="E48" s="396">
        <f t="shared" si="28"/>
        <v>0</v>
      </c>
      <c r="F48" s="396">
        <f t="shared" si="28"/>
        <v>0</v>
      </c>
      <c r="G48" s="396">
        <f t="shared" si="28"/>
        <v>0</v>
      </c>
      <c r="H48" s="396">
        <f t="shared" si="28"/>
        <v>0</v>
      </c>
      <c r="I48" s="396">
        <f t="shared" si="28"/>
        <v>0</v>
      </c>
      <c r="J48" s="379"/>
      <c r="K48" s="395" t="s">
        <v>17</v>
      </c>
      <c r="L48" s="385">
        <f t="shared" ref="L48:R48" si="29">L47*$C$73</f>
        <v>0</v>
      </c>
      <c r="M48" s="385">
        <f t="shared" si="29"/>
        <v>0</v>
      </c>
      <c r="N48" s="385">
        <f t="shared" si="29"/>
        <v>0</v>
      </c>
      <c r="O48" s="385">
        <f t="shared" si="29"/>
        <v>0</v>
      </c>
      <c r="P48" s="385">
        <f t="shared" si="29"/>
        <v>0</v>
      </c>
      <c r="Q48" s="385">
        <f t="shared" si="29"/>
        <v>0</v>
      </c>
      <c r="R48" s="385">
        <f t="shared" si="29"/>
        <v>0</v>
      </c>
      <c r="S48" s="401"/>
    </row>
    <row r="49" spans="1:19" ht="23.25">
      <c r="A49" s="395" t="s">
        <v>200</v>
      </c>
      <c r="B49" s="395"/>
      <c r="C49" s="396">
        <f>C48</f>
        <v>0</v>
      </c>
      <c r="D49" s="396">
        <f t="shared" ref="D49:I49" si="30">C49+D48</f>
        <v>0</v>
      </c>
      <c r="E49" s="396">
        <f t="shared" si="30"/>
        <v>0</v>
      </c>
      <c r="F49" s="396">
        <f t="shared" si="30"/>
        <v>0</v>
      </c>
      <c r="G49" s="396">
        <f t="shared" si="30"/>
        <v>0</v>
      </c>
      <c r="H49" s="396">
        <f t="shared" si="30"/>
        <v>0</v>
      </c>
      <c r="I49" s="396">
        <f t="shared" si="30"/>
        <v>0</v>
      </c>
      <c r="J49" s="379"/>
      <c r="K49" s="395" t="s">
        <v>200</v>
      </c>
      <c r="L49" s="385">
        <f>L48</f>
        <v>0</v>
      </c>
      <c r="M49" s="385">
        <f t="shared" ref="M49:R49" si="31">L49+M48</f>
        <v>0</v>
      </c>
      <c r="N49" s="385">
        <f t="shared" si="31"/>
        <v>0</v>
      </c>
      <c r="O49" s="385">
        <f t="shared" si="31"/>
        <v>0</v>
      </c>
      <c r="P49" s="385">
        <f t="shared" si="31"/>
        <v>0</v>
      </c>
      <c r="Q49" s="385">
        <f t="shared" si="31"/>
        <v>0</v>
      </c>
      <c r="R49" s="385">
        <f t="shared" si="31"/>
        <v>0</v>
      </c>
      <c r="S49" s="401"/>
    </row>
    <row r="50" spans="1:19" ht="23.25">
      <c r="A50" s="395" t="s">
        <v>201</v>
      </c>
      <c r="B50" s="395"/>
      <c r="C50" s="396">
        <f t="shared" ref="C50:I50" si="32">C47-C48</f>
        <v>0</v>
      </c>
      <c r="D50" s="396">
        <f t="shared" si="32"/>
        <v>0</v>
      </c>
      <c r="E50" s="396">
        <f t="shared" si="32"/>
        <v>0</v>
      </c>
      <c r="F50" s="396">
        <f t="shared" si="32"/>
        <v>0</v>
      </c>
      <c r="G50" s="396">
        <f t="shared" si="32"/>
        <v>0</v>
      </c>
      <c r="H50" s="396">
        <f t="shared" si="32"/>
        <v>0</v>
      </c>
      <c r="I50" s="396">
        <f t="shared" si="32"/>
        <v>0</v>
      </c>
      <c r="J50" s="379"/>
      <c r="K50" s="395" t="s">
        <v>201</v>
      </c>
      <c r="L50" s="385">
        <f t="shared" ref="L50:R50" si="33">L47-L48</f>
        <v>0</v>
      </c>
      <c r="M50" s="385">
        <f t="shared" si="33"/>
        <v>0</v>
      </c>
      <c r="N50" s="385">
        <f t="shared" si="33"/>
        <v>0</v>
      </c>
      <c r="O50" s="385">
        <f t="shared" si="33"/>
        <v>0</v>
      </c>
      <c r="P50" s="385">
        <f t="shared" si="33"/>
        <v>0</v>
      </c>
      <c r="Q50" s="385">
        <f t="shared" si="33"/>
        <v>0</v>
      </c>
      <c r="R50" s="385">
        <f t="shared" si="33"/>
        <v>0</v>
      </c>
      <c r="S50" s="401"/>
    </row>
    <row r="51" spans="1:19" ht="23.25">
      <c r="A51" s="395"/>
      <c r="B51" s="395"/>
      <c r="C51" s="396"/>
      <c r="D51" s="396"/>
      <c r="E51" s="396"/>
      <c r="F51" s="396"/>
      <c r="G51" s="396"/>
      <c r="H51" s="396"/>
      <c r="I51" s="396"/>
      <c r="J51" s="379"/>
      <c r="K51" s="395"/>
      <c r="L51" s="385"/>
      <c r="M51" s="385"/>
      <c r="N51" s="385"/>
      <c r="O51" s="385"/>
      <c r="P51" s="385"/>
      <c r="Q51" s="385"/>
      <c r="R51" s="385"/>
      <c r="S51" s="401"/>
    </row>
    <row r="52" spans="1:19" ht="23.25">
      <c r="A52" s="394" t="s">
        <v>161</v>
      </c>
      <c r="B52" s="394"/>
      <c r="C52" s="396"/>
      <c r="D52" s="396"/>
      <c r="E52" s="396"/>
      <c r="F52" s="396"/>
      <c r="G52" s="396"/>
      <c r="H52" s="396"/>
      <c r="I52" s="396"/>
      <c r="J52" s="379"/>
      <c r="K52" s="394" t="s">
        <v>161</v>
      </c>
      <c r="L52" s="385"/>
      <c r="M52" s="385"/>
      <c r="N52" s="385"/>
      <c r="O52" s="385"/>
      <c r="P52" s="385"/>
      <c r="Q52" s="385"/>
      <c r="R52" s="385"/>
      <c r="S52" s="401"/>
    </row>
    <row r="53" spans="1:19" ht="23.25">
      <c r="A53" s="395" t="s">
        <v>199</v>
      </c>
      <c r="B53" s="395"/>
      <c r="C53" s="396">
        <f>'1.Project Cost and MOF'!D9</f>
        <v>0</v>
      </c>
      <c r="D53" s="396">
        <f t="shared" ref="D53:I53" si="34">C56</f>
        <v>0</v>
      </c>
      <c r="E53" s="396">
        <f t="shared" si="34"/>
        <v>0</v>
      </c>
      <c r="F53" s="396">
        <f t="shared" si="34"/>
        <v>0</v>
      </c>
      <c r="G53" s="396">
        <f t="shared" si="34"/>
        <v>0</v>
      </c>
      <c r="H53" s="396">
        <f t="shared" si="34"/>
        <v>0</v>
      </c>
      <c r="I53" s="396">
        <f t="shared" si="34"/>
        <v>0</v>
      </c>
      <c r="J53" s="379"/>
      <c r="K53" s="395" t="s">
        <v>199</v>
      </c>
      <c r="L53" s="385">
        <f>C53</f>
        <v>0</v>
      </c>
      <c r="M53" s="385">
        <f t="shared" ref="M53:R53" si="35">L56</f>
        <v>0</v>
      </c>
      <c r="N53" s="385">
        <f t="shared" si="35"/>
        <v>0</v>
      </c>
      <c r="O53" s="385">
        <f t="shared" si="35"/>
        <v>0</v>
      </c>
      <c r="P53" s="385">
        <f t="shared" si="35"/>
        <v>0</v>
      </c>
      <c r="Q53" s="385">
        <f t="shared" si="35"/>
        <v>0</v>
      </c>
      <c r="R53" s="385">
        <f t="shared" si="35"/>
        <v>0</v>
      </c>
      <c r="S53" s="401"/>
    </row>
    <row r="54" spans="1:19" ht="23.25">
      <c r="A54" s="395" t="s">
        <v>17</v>
      </c>
      <c r="B54" s="395"/>
      <c r="C54" s="396">
        <f t="shared" ref="C54:I54" si="36">$C$53*$B$75</f>
        <v>0</v>
      </c>
      <c r="D54" s="396">
        <f t="shared" si="36"/>
        <v>0</v>
      </c>
      <c r="E54" s="396">
        <f t="shared" si="36"/>
        <v>0</v>
      </c>
      <c r="F54" s="396">
        <f t="shared" si="36"/>
        <v>0</v>
      </c>
      <c r="G54" s="396">
        <f t="shared" si="36"/>
        <v>0</v>
      </c>
      <c r="H54" s="396">
        <f t="shared" si="36"/>
        <v>0</v>
      </c>
      <c r="I54" s="396">
        <f t="shared" si="36"/>
        <v>0</v>
      </c>
      <c r="J54" s="379"/>
      <c r="K54" s="395" t="s">
        <v>17</v>
      </c>
      <c r="L54" s="385">
        <f t="shared" ref="L54:R54" si="37">L53*$C$75</f>
        <v>0</v>
      </c>
      <c r="M54" s="385">
        <f t="shared" si="37"/>
        <v>0</v>
      </c>
      <c r="N54" s="385">
        <f t="shared" si="37"/>
        <v>0</v>
      </c>
      <c r="O54" s="385">
        <f t="shared" si="37"/>
        <v>0</v>
      </c>
      <c r="P54" s="385">
        <f t="shared" si="37"/>
        <v>0</v>
      </c>
      <c r="Q54" s="385">
        <f t="shared" si="37"/>
        <v>0</v>
      </c>
      <c r="R54" s="385">
        <f t="shared" si="37"/>
        <v>0</v>
      </c>
      <c r="S54" s="401"/>
    </row>
    <row r="55" spans="1:19" ht="23.25">
      <c r="A55" s="395" t="s">
        <v>200</v>
      </c>
      <c r="B55" s="395"/>
      <c r="C55" s="396">
        <f>C54</f>
        <v>0</v>
      </c>
      <c r="D55" s="396">
        <f t="shared" ref="D55:I55" si="38">C55+D54</f>
        <v>0</v>
      </c>
      <c r="E55" s="396">
        <f t="shared" si="38"/>
        <v>0</v>
      </c>
      <c r="F55" s="396">
        <f t="shared" si="38"/>
        <v>0</v>
      </c>
      <c r="G55" s="396">
        <f t="shared" si="38"/>
        <v>0</v>
      </c>
      <c r="H55" s="396">
        <f t="shared" si="38"/>
        <v>0</v>
      </c>
      <c r="I55" s="396">
        <f t="shared" si="38"/>
        <v>0</v>
      </c>
      <c r="J55" s="379"/>
      <c r="K55" s="395" t="s">
        <v>200</v>
      </c>
      <c r="L55" s="385">
        <f>L54</f>
        <v>0</v>
      </c>
      <c r="M55" s="385">
        <f t="shared" ref="M55:R55" si="39">L55+M54</f>
        <v>0</v>
      </c>
      <c r="N55" s="385">
        <f t="shared" si="39"/>
        <v>0</v>
      </c>
      <c r="O55" s="385">
        <f t="shared" si="39"/>
        <v>0</v>
      </c>
      <c r="P55" s="385">
        <f t="shared" si="39"/>
        <v>0</v>
      </c>
      <c r="Q55" s="385">
        <f t="shared" si="39"/>
        <v>0</v>
      </c>
      <c r="R55" s="385">
        <f t="shared" si="39"/>
        <v>0</v>
      </c>
      <c r="S55" s="401"/>
    </row>
    <row r="56" spans="1:19" ht="23.25">
      <c r="A56" s="395" t="s">
        <v>201</v>
      </c>
      <c r="B56" s="395"/>
      <c r="C56" s="396">
        <f t="shared" ref="C56:I56" si="40">C53-C54</f>
        <v>0</v>
      </c>
      <c r="D56" s="396">
        <f t="shared" si="40"/>
        <v>0</v>
      </c>
      <c r="E56" s="396">
        <f t="shared" si="40"/>
        <v>0</v>
      </c>
      <c r="F56" s="396">
        <f t="shared" si="40"/>
        <v>0</v>
      </c>
      <c r="G56" s="396">
        <f t="shared" si="40"/>
        <v>0</v>
      </c>
      <c r="H56" s="396">
        <f t="shared" si="40"/>
        <v>0</v>
      </c>
      <c r="I56" s="396">
        <f t="shared" si="40"/>
        <v>0</v>
      </c>
      <c r="J56" s="379"/>
      <c r="K56" s="395" t="s">
        <v>201</v>
      </c>
      <c r="L56" s="385">
        <f t="shared" ref="L56:R56" si="41">L53-L54</f>
        <v>0</v>
      </c>
      <c r="M56" s="385">
        <f t="shared" si="41"/>
        <v>0</v>
      </c>
      <c r="N56" s="385">
        <f t="shared" si="41"/>
        <v>0</v>
      </c>
      <c r="O56" s="385">
        <f t="shared" si="41"/>
        <v>0</v>
      </c>
      <c r="P56" s="385">
        <f t="shared" si="41"/>
        <v>0</v>
      </c>
      <c r="Q56" s="385">
        <f t="shared" si="41"/>
        <v>0</v>
      </c>
      <c r="R56" s="385">
        <f t="shared" si="41"/>
        <v>0</v>
      </c>
      <c r="S56" s="401"/>
    </row>
    <row r="57" spans="1:19" ht="23.25">
      <c r="A57" s="395"/>
      <c r="B57" s="395"/>
      <c r="C57" s="396"/>
      <c r="D57" s="396"/>
      <c r="E57" s="396"/>
      <c r="F57" s="396"/>
      <c r="G57" s="396"/>
      <c r="H57" s="396"/>
      <c r="I57" s="396"/>
      <c r="J57" s="379"/>
      <c r="K57" s="395"/>
      <c r="L57" s="385"/>
      <c r="M57" s="385"/>
      <c r="N57" s="385"/>
      <c r="O57" s="385"/>
      <c r="P57" s="385"/>
      <c r="Q57" s="385"/>
      <c r="R57" s="385"/>
      <c r="S57" s="401"/>
    </row>
    <row r="58" spans="1:19" ht="23.25">
      <c r="A58" s="397" t="s">
        <v>336</v>
      </c>
      <c r="B58" s="395"/>
      <c r="C58" s="396"/>
      <c r="D58" s="396"/>
      <c r="E58" s="396"/>
      <c r="F58" s="396"/>
      <c r="G58" s="396"/>
      <c r="H58" s="396"/>
      <c r="I58" s="396"/>
      <c r="J58" s="379"/>
      <c r="K58" s="397" t="s">
        <v>336</v>
      </c>
      <c r="L58" s="385"/>
      <c r="M58" s="385"/>
      <c r="N58" s="385"/>
      <c r="O58" s="385"/>
      <c r="P58" s="385"/>
      <c r="Q58" s="385"/>
      <c r="R58" s="385"/>
      <c r="S58" s="401"/>
    </row>
    <row r="59" spans="1:19" ht="23.25">
      <c r="A59" s="395" t="str">
        <f>A53</f>
        <v>Asset Value</v>
      </c>
      <c r="B59" s="395"/>
      <c r="C59" s="396">
        <f>'1.Project Cost and MOF'!D8</f>
        <v>0</v>
      </c>
      <c r="D59" s="396">
        <f t="shared" ref="D59:I59" si="42">C62</f>
        <v>0</v>
      </c>
      <c r="E59" s="396">
        <f t="shared" si="42"/>
        <v>0</v>
      </c>
      <c r="F59" s="396">
        <f t="shared" si="42"/>
        <v>0</v>
      </c>
      <c r="G59" s="396">
        <f t="shared" si="42"/>
        <v>0</v>
      </c>
      <c r="H59" s="396">
        <f t="shared" si="42"/>
        <v>0</v>
      </c>
      <c r="I59" s="396">
        <f t="shared" si="42"/>
        <v>0</v>
      </c>
      <c r="J59" s="379"/>
      <c r="K59" s="395" t="str">
        <f>K53</f>
        <v>Asset Value</v>
      </c>
      <c r="L59" s="385">
        <f>C59</f>
        <v>0</v>
      </c>
      <c r="M59" s="385">
        <f t="shared" ref="M59:R59" si="43">L62</f>
        <v>0</v>
      </c>
      <c r="N59" s="385">
        <f t="shared" si="43"/>
        <v>0</v>
      </c>
      <c r="O59" s="385">
        <f t="shared" si="43"/>
        <v>0</v>
      </c>
      <c r="P59" s="385">
        <f t="shared" si="43"/>
        <v>0</v>
      </c>
      <c r="Q59" s="385">
        <f t="shared" si="43"/>
        <v>0</v>
      </c>
      <c r="R59" s="385">
        <f t="shared" si="43"/>
        <v>0</v>
      </c>
      <c r="S59" s="401"/>
    </row>
    <row r="60" spans="1:19" ht="23.25">
      <c r="A60" s="395" t="str">
        <f>A54</f>
        <v>Depreciation</v>
      </c>
      <c r="B60" s="395"/>
      <c r="C60" s="396">
        <f t="shared" ref="C60:I60" si="44">$C$59*$B$74</f>
        <v>0</v>
      </c>
      <c r="D60" s="396">
        <f t="shared" si="44"/>
        <v>0</v>
      </c>
      <c r="E60" s="396">
        <f t="shared" si="44"/>
        <v>0</v>
      </c>
      <c r="F60" s="396">
        <f t="shared" si="44"/>
        <v>0</v>
      </c>
      <c r="G60" s="396">
        <f t="shared" si="44"/>
        <v>0</v>
      </c>
      <c r="H60" s="396">
        <f t="shared" si="44"/>
        <v>0</v>
      </c>
      <c r="I60" s="396">
        <f t="shared" si="44"/>
        <v>0</v>
      </c>
      <c r="J60" s="379"/>
      <c r="K60" s="395" t="str">
        <f>K54</f>
        <v>Depreciation</v>
      </c>
      <c r="L60" s="385">
        <f t="shared" ref="L60:R60" si="45">L59*$C$74</f>
        <v>0</v>
      </c>
      <c r="M60" s="385">
        <f t="shared" si="45"/>
        <v>0</v>
      </c>
      <c r="N60" s="385">
        <f t="shared" si="45"/>
        <v>0</v>
      </c>
      <c r="O60" s="385">
        <f t="shared" si="45"/>
        <v>0</v>
      </c>
      <c r="P60" s="385">
        <f t="shared" si="45"/>
        <v>0</v>
      </c>
      <c r="Q60" s="385">
        <f t="shared" si="45"/>
        <v>0</v>
      </c>
      <c r="R60" s="385">
        <f t="shared" si="45"/>
        <v>0</v>
      </c>
      <c r="S60" s="401"/>
    </row>
    <row r="61" spans="1:19" ht="23.25">
      <c r="A61" s="395" t="str">
        <f>A55</f>
        <v>Accumulated Depreciation</v>
      </c>
      <c r="B61" s="395"/>
      <c r="C61" s="396">
        <f>C60</f>
        <v>0</v>
      </c>
      <c r="D61" s="396">
        <f t="shared" ref="D61:I61" si="46">D60+C61</f>
        <v>0</v>
      </c>
      <c r="E61" s="396">
        <f t="shared" si="46"/>
        <v>0</v>
      </c>
      <c r="F61" s="396">
        <f t="shared" si="46"/>
        <v>0</v>
      </c>
      <c r="G61" s="396">
        <f t="shared" si="46"/>
        <v>0</v>
      </c>
      <c r="H61" s="396">
        <f t="shared" si="46"/>
        <v>0</v>
      </c>
      <c r="I61" s="396">
        <f t="shared" si="46"/>
        <v>0</v>
      </c>
      <c r="J61" s="379"/>
      <c r="K61" s="395" t="str">
        <f>K55</f>
        <v>Accumulated Depreciation</v>
      </c>
      <c r="L61" s="385">
        <f>L60</f>
        <v>0</v>
      </c>
      <c r="M61" s="385">
        <f t="shared" ref="M61:R61" si="47">M60+L61</f>
        <v>0</v>
      </c>
      <c r="N61" s="385">
        <f t="shared" si="47"/>
        <v>0</v>
      </c>
      <c r="O61" s="385">
        <f t="shared" si="47"/>
        <v>0</v>
      </c>
      <c r="P61" s="385">
        <f t="shared" si="47"/>
        <v>0</v>
      </c>
      <c r="Q61" s="385">
        <f t="shared" si="47"/>
        <v>0</v>
      </c>
      <c r="R61" s="385">
        <f t="shared" si="47"/>
        <v>0</v>
      </c>
      <c r="S61" s="401"/>
    </row>
    <row r="62" spans="1:19" ht="23.25">
      <c r="A62" s="395" t="str">
        <f>A56</f>
        <v>Net Fixed Assets</v>
      </c>
      <c r="B62" s="395"/>
      <c r="C62" s="396">
        <f t="shared" ref="C62:I62" si="48">C59-C60</f>
        <v>0</v>
      </c>
      <c r="D62" s="396">
        <f t="shared" si="48"/>
        <v>0</v>
      </c>
      <c r="E62" s="396">
        <f t="shared" si="48"/>
        <v>0</v>
      </c>
      <c r="F62" s="396">
        <f t="shared" si="48"/>
        <v>0</v>
      </c>
      <c r="G62" s="396">
        <f t="shared" si="48"/>
        <v>0</v>
      </c>
      <c r="H62" s="396">
        <f t="shared" si="48"/>
        <v>0</v>
      </c>
      <c r="I62" s="396">
        <f t="shared" si="48"/>
        <v>0</v>
      </c>
      <c r="J62" s="379"/>
      <c r="K62" s="395" t="str">
        <f>K56</f>
        <v>Net Fixed Assets</v>
      </c>
      <c r="L62" s="385">
        <f t="shared" ref="L62:R62" si="49">L59-L60</f>
        <v>0</v>
      </c>
      <c r="M62" s="385">
        <f t="shared" si="49"/>
        <v>0</v>
      </c>
      <c r="N62" s="385">
        <f t="shared" si="49"/>
        <v>0</v>
      </c>
      <c r="O62" s="385">
        <f t="shared" si="49"/>
        <v>0</v>
      </c>
      <c r="P62" s="385">
        <f t="shared" si="49"/>
        <v>0</v>
      </c>
      <c r="Q62" s="385">
        <f t="shared" si="49"/>
        <v>0</v>
      </c>
      <c r="R62" s="385">
        <f t="shared" si="49"/>
        <v>0</v>
      </c>
      <c r="S62" s="401"/>
    </row>
    <row r="63" spans="1:19" ht="23.25">
      <c r="A63" s="394" t="s">
        <v>205</v>
      </c>
      <c r="B63" s="394"/>
      <c r="C63" s="398">
        <f t="shared" ref="C63:I66" si="50">C47+C41+C35+C53+C59</f>
        <v>31540881</v>
      </c>
      <c r="D63" s="398">
        <f t="shared" si="50"/>
        <v>30355435.632300001</v>
      </c>
      <c r="E63" s="398">
        <f t="shared" si="50"/>
        <v>29169990.264600001</v>
      </c>
      <c r="F63" s="398">
        <f t="shared" si="50"/>
        <v>27984544.896899998</v>
      </c>
      <c r="G63" s="398">
        <f t="shared" si="50"/>
        <v>26799099.529199999</v>
      </c>
      <c r="H63" s="398">
        <f t="shared" si="50"/>
        <v>25613654.161499999</v>
      </c>
      <c r="I63" s="398">
        <f t="shared" si="50"/>
        <v>24428208.793799996</v>
      </c>
      <c r="J63" s="379"/>
      <c r="K63" s="394" t="s">
        <v>205</v>
      </c>
      <c r="L63" s="386">
        <f t="shared" ref="L63:R66" si="51">L47+L41+L35+L53+L59</f>
        <v>31540881</v>
      </c>
      <c r="M63" s="386">
        <f t="shared" si="51"/>
        <v>28093122.899999999</v>
      </c>
      <c r="N63" s="386">
        <f t="shared" si="51"/>
        <v>25034191.109999999</v>
      </c>
      <c r="O63" s="386">
        <f t="shared" si="51"/>
        <v>22318595.423999999</v>
      </c>
      <c r="P63" s="386">
        <f t="shared" si="51"/>
        <v>19906385.792849999</v>
      </c>
      <c r="Q63" s="386">
        <f t="shared" si="51"/>
        <v>17762449.638127498</v>
      </c>
      <c r="R63" s="386">
        <f t="shared" si="51"/>
        <v>15855901.735192874</v>
      </c>
      <c r="S63" s="401"/>
    </row>
    <row r="64" spans="1:19" ht="23.25">
      <c r="A64" s="394" t="s">
        <v>206</v>
      </c>
      <c r="B64" s="394"/>
      <c r="C64" s="398">
        <f t="shared" si="50"/>
        <v>1185445.3676999998</v>
      </c>
      <c r="D64" s="398">
        <f t="shared" si="50"/>
        <v>1185445.3676999998</v>
      </c>
      <c r="E64" s="398">
        <f t="shared" si="50"/>
        <v>1185445.3676999998</v>
      </c>
      <c r="F64" s="398">
        <f t="shared" si="50"/>
        <v>1185445.3676999998</v>
      </c>
      <c r="G64" s="398">
        <f t="shared" si="50"/>
        <v>1185445.3676999998</v>
      </c>
      <c r="H64" s="398">
        <f t="shared" si="50"/>
        <v>1185445.3676999998</v>
      </c>
      <c r="I64" s="398">
        <f t="shared" si="50"/>
        <v>1185445.3676999998</v>
      </c>
      <c r="J64" s="379"/>
      <c r="K64" s="394" t="s">
        <v>206</v>
      </c>
      <c r="L64" s="386">
        <f t="shared" si="51"/>
        <v>3447758.1</v>
      </c>
      <c r="M64" s="386">
        <f t="shared" si="51"/>
        <v>3058931.79</v>
      </c>
      <c r="N64" s="386">
        <f t="shared" si="51"/>
        <v>2715595.6860000002</v>
      </c>
      <c r="O64" s="386">
        <f t="shared" si="51"/>
        <v>2412209.6311500003</v>
      </c>
      <c r="P64" s="386">
        <f t="shared" si="51"/>
        <v>2143936.1547225001</v>
      </c>
      <c r="Q64" s="386">
        <f t="shared" si="51"/>
        <v>1906547.9029346248</v>
      </c>
      <c r="R64" s="386">
        <f t="shared" si="51"/>
        <v>1696347.6717728812</v>
      </c>
      <c r="S64" s="401"/>
    </row>
    <row r="65" spans="1:19" ht="23.25">
      <c r="A65" s="394" t="s">
        <v>207</v>
      </c>
      <c r="B65" s="394"/>
      <c r="C65" s="398">
        <f t="shared" si="50"/>
        <v>1185445.3676999998</v>
      </c>
      <c r="D65" s="398">
        <f t="shared" si="50"/>
        <v>2370890.7353999997</v>
      </c>
      <c r="E65" s="398">
        <f t="shared" si="50"/>
        <v>3556336.1030999999</v>
      </c>
      <c r="F65" s="398">
        <f t="shared" si="50"/>
        <v>4741781.4707999993</v>
      </c>
      <c r="G65" s="398">
        <f t="shared" si="50"/>
        <v>5927226.8384999996</v>
      </c>
      <c r="H65" s="398">
        <f t="shared" si="50"/>
        <v>7112672.2061999999</v>
      </c>
      <c r="I65" s="398">
        <f t="shared" si="50"/>
        <v>8298117.5738999993</v>
      </c>
      <c r="J65" s="379"/>
      <c r="K65" s="394" t="s">
        <v>207</v>
      </c>
      <c r="L65" s="386">
        <f t="shared" si="51"/>
        <v>3447758.1</v>
      </c>
      <c r="M65" s="386">
        <f t="shared" si="51"/>
        <v>6506689.8900000006</v>
      </c>
      <c r="N65" s="386">
        <f t="shared" si="51"/>
        <v>9222285.5760000013</v>
      </c>
      <c r="O65" s="386">
        <f t="shared" si="51"/>
        <v>11634495.207150001</v>
      </c>
      <c r="P65" s="386">
        <f t="shared" si="51"/>
        <v>13778431.361872502</v>
      </c>
      <c r="Q65" s="386">
        <f t="shared" si="51"/>
        <v>15684979.264807126</v>
      </c>
      <c r="R65" s="386">
        <f t="shared" si="51"/>
        <v>17381326.936580006</v>
      </c>
      <c r="S65" s="401"/>
    </row>
    <row r="66" spans="1:19" ht="23.25">
      <c r="A66" s="394" t="s">
        <v>201</v>
      </c>
      <c r="B66" s="394"/>
      <c r="C66" s="398">
        <f t="shared" si="50"/>
        <v>30355435.632300001</v>
      </c>
      <c r="D66" s="398">
        <f t="shared" si="50"/>
        <v>29169990.264600001</v>
      </c>
      <c r="E66" s="398">
        <f t="shared" si="50"/>
        <v>27984544.896899998</v>
      </c>
      <c r="F66" s="398">
        <f t="shared" si="50"/>
        <v>26799099.529199999</v>
      </c>
      <c r="G66" s="398">
        <f t="shared" si="50"/>
        <v>25613654.161499999</v>
      </c>
      <c r="H66" s="398">
        <f t="shared" si="50"/>
        <v>24428208.793799996</v>
      </c>
      <c r="I66" s="398">
        <f t="shared" si="50"/>
        <v>23242763.426099997</v>
      </c>
      <c r="J66" s="379"/>
      <c r="K66" s="394" t="s">
        <v>201</v>
      </c>
      <c r="L66" s="386">
        <f t="shared" si="51"/>
        <v>28093122.899999999</v>
      </c>
      <c r="M66" s="386">
        <f t="shared" si="51"/>
        <v>25034191.109999999</v>
      </c>
      <c r="N66" s="386">
        <f t="shared" si="51"/>
        <v>22318595.423999999</v>
      </c>
      <c r="O66" s="386">
        <f t="shared" si="51"/>
        <v>19906385.792849999</v>
      </c>
      <c r="P66" s="386">
        <f t="shared" si="51"/>
        <v>17762449.638127498</v>
      </c>
      <c r="Q66" s="386">
        <f t="shared" si="51"/>
        <v>15855901.735192874</v>
      </c>
      <c r="R66" s="386">
        <f t="shared" si="51"/>
        <v>14159554.063419994</v>
      </c>
      <c r="S66" s="401"/>
    </row>
    <row r="67" spans="1:19">
      <c r="A67" s="161"/>
      <c r="B67" s="161"/>
      <c r="C67" s="162"/>
      <c r="D67" s="162"/>
      <c r="E67" s="162"/>
      <c r="F67" s="162"/>
      <c r="G67" s="162"/>
      <c r="H67" s="162"/>
      <c r="I67" s="162"/>
      <c r="J67" s="94"/>
      <c r="K67" s="94"/>
    </row>
    <row r="68" spans="1:19">
      <c r="A68" s="94"/>
      <c r="B68" s="94"/>
      <c r="C68" s="94"/>
      <c r="D68" s="94"/>
      <c r="E68" s="94"/>
      <c r="F68" s="94"/>
      <c r="G68" s="94"/>
      <c r="H68" s="94"/>
      <c r="I68" s="94"/>
      <c r="J68" s="94"/>
      <c r="K68" s="94"/>
    </row>
    <row r="69" spans="1:19" ht="29.25">
      <c r="A69" s="163" t="s">
        <v>208</v>
      </c>
      <c r="B69" s="164" t="s">
        <v>209</v>
      </c>
      <c r="C69" s="165" t="s">
        <v>210</v>
      </c>
      <c r="D69" s="94"/>
      <c r="E69" s="94"/>
      <c r="F69" s="94"/>
      <c r="G69" s="94"/>
      <c r="H69" s="94"/>
      <c r="I69" s="94"/>
      <c r="J69" s="94"/>
      <c r="K69" s="94"/>
    </row>
    <row r="70" spans="1:19" ht="29.25">
      <c r="A70" s="166" t="s">
        <v>211</v>
      </c>
      <c r="B70" s="164" t="s">
        <v>212</v>
      </c>
      <c r="C70" s="165" t="s">
        <v>213</v>
      </c>
      <c r="D70" s="94"/>
      <c r="E70" s="94"/>
      <c r="F70" s="94"/>
      <c r="G70" s="94"/>
      <c r="H70" s="94"/>
      <c r="I70" s="94"/>
      <c r="J70" s="94"/>
      <c r="K70" s="94"/>
    </row>
    <row r="71" spans="1:19">
      <c r="A71" s="166" t="s">
        <v>149</v>
      </c>
      <c r="B71" s="167">
        <v>0</v>
      </c>
      <c r="C71" s="167">
        <v>0</v>
      </c>
      <c r="D71" s="94"/>
      <c r="E71" s="94"/>
      <c r="F71" s="94"/>
      <c r="G71" s="94"/>
      <c r="H71" s="94"/>
      <c r="I71" s="94"/>
      <c r="J71" s="94"/>
      <c r="K71" s="94"/>
    </row>
    <row r="72" spans="1:19">
      <c r="A72" s="168" t="s">
        <v>202</v>
      </c>
      <c r="B72" s="167">
        <v>3.1699999999999999E-2</v>
      </c>
      <c r="C72" s="167">
        <v>0.1</v>
      </c>
      <c r="D72" s="169"/>
      <c r="E72" s="94"/>
      <c r="F72" s="94"/>
      <c r="G72" s="94"/>
      <c r="H72" s="94"/>
      <c r="I72" s="94"/>
      <c r="J72" s="94"/>
      <c r="K72" s="94"/>
    </row>
    <row r="73" spans="1:19">
      <c r="A73" s="168" t="s">
        <v>204</v>
      </c>
      <c r="B73" s="170">
        <v>0.1</v>
      </c>
      <c r="C73" s="167">
        <v>0.1</v>
      </c>
      <c r="D73" s="94"/>
      <c r="E73" s="94"/>
      <c r="F73" s="94"/>
      <c r="G73" s="94"/>
      <c r="H73" s="94"/>
      <c r="I73" s="94"/>
      <c r="J73" s="94"/>
      <c r="K73" s="94"/>
    </row>
    <row r="74" spans="1:19">
      <c r="A74" s="94" t="s">
        <v>214</v>
      </c>
      <c r="B74" s="170">
        <v>0.1</v>
      </c>
      <c r="C74" s="170">
        <v>0.4</v>
      </c>
      <c r="D74" s="94"/>
      <c r="E74" s="94"/>
      <c r="F74" s="94"/>
      <c r="G74" s="94"/>
      <c r="H74" s="94"/>
      <c r="I74" s="94"/>
      <c r="J74" s="94"/>
      <c r="K74" s="94"/>
    </row>
    <row r="75" spans="1:19">
      <c r="A75" s="94" t="s">
        <v>279</v>
      </c>
      <c r="B75" s="170">
        <v>0.1188</v>
      </c>
      <c r="C75" s="170">
        <v>0.15</v>
      </c>
      <c r="D75" s="94"/>
      <c r="E75" s="94"/>
      <c r="F75" s="94"/>
      <c r="G75" s="94"/>
      <c r="H75" s="94"/>
      <c r="I75" s="94"/>
      <c r="J75" s="94"/>
      <c r="K75" s="94"/>
    </row>
    <row r="76" spans="1:19">
      <c r="A76" s="168" t="s">
        <v>215</v>
      </c>
      <c r="B76" s="170">
        <v>6.3299999999999995E-2</v>
      </c>
      <c r="C76" s="170">
        <v>0.15</v>
      </c>
      <c r="D76" s="94"/>
      <c r="E76" s="94"/>
      <c r="F76" s="94"/>
      <c r="G76" s="94"/>
      <c r="H76" s="94"/>
      <c r="I76" s="94"/>
      <c r="J76" s="94"/>
      <c r="K76" s="94"/>
    </row>
    <row r="77" spans="1:19" ht="29.25">
      <c r="A77" s="166" t="s">
        <v>208</v>
      </c>
      <c r="B77" s="167"/>
      <c r="C77" s="171"/>
      <c r="D77" s="94"/>
      <c r="E77" s="94"/>
      <c r="F77" s="94"/>
      <c r="G77" s="94"/>
      <c r="H77" s="94"/>
      <c r="I77" s="94"/>
      <c r="J77" s="94"/>
      <c r="K77" s="94"/>
    </row>
    <row r="78" spans="1:19">
      <c r="A78" s="168" t="s">
        <v>216</v>
      </c>
      <c r="B78" s="171">
        <v>0.2</v>
      </c>
      <c r="C78" s="172">
        <v>0.2</v>
      </c>
      <c r="D78" s="94"/>
      <c r="E78" s="94"/>
      <c r="F78" s="94"/>
      <c r="G78" s="94"/>
      <c r="H78" s="94"/>
      <c r="I78" s="94"/>
      <c r="J78" s="94"/>
      <c r="K78" s="94"/>
    </row>
    <row r="79" spans="1:19">
      <c r="A79" s="94"/>
      <c r="B79" s="94"/>
      <c r="C79" s="94"/>
      <c r="D79" s="94"/>
      <c r="E79" s="94"/>
      <c r="F79" s="94"/>
      <c r="G79" s="94"/>
      <c r="H79" s="94"/>
      <c r="I79" s="94"/>
      <c r="J79" s="94"/>
      <c r="K79" s="94"/>
    </row>
    <row r="80" spans="1:19">
      <c r="A80" s="94"/>
      <c r="B80" s="94"/>
      <c r="C80" s="94"/>
      <c r="D80" s="94"/>
      <c r="E80" s="173"/>
      <c r="F80" s="94"/>
      <c r="G80" s="94"/>
      <c r="H80" s="94"/>
      <c r="I80" s="94"/>
      <c r="J80" s="94"/>
      <c r="K80" s="94"/>
    </row>
    <row r="81" spans="1:13" s="65" customFormat="1" ht="18.75">
      <c r="A81" s="438" t="s">
        <v>577</v>
      </c>
      <c r="B81" s="438"/>
      <c r="C81" s="438"/>
      <c r="D81" s="438"/>
      <c r="E81" s="438"/>
      <c r="F81" s="438"/>
      <c r="G81" s="438"/>
      <c r="H81" s="438"/>
      <c r="I81" s="438"/>
      <c r="J81" s="200"/>
      <c r="K81" s="371"/>
    </row>
    <row r="82" spans="1:13" s="65" customFormat="1">
      <c r="A82" s="35"/>
      <c r="B82" s="35"/>
    </row>
    <row r="83" spans="1:13" s="65" customFormat="1">
      <c r="A83" s="152" t="s">
        <v>0</v>
      </c>
      <c r="B83" s="153" t="s">
        <v>346</v>
      </c>
      <c r="C83" s="154" t="s">
        <v>2</v>
      </c>
      <c r="D83" s="154" t="s">
        <v>3</v>
      </c>
      <c r="E83" s="154" t="s">
        <v>4</v>
      </c>
      <c r="F83" s="154" t="s">
        <v>5</v>
      </c>
      <c r="G83" s="154" t="s">
        <v>6</v>
      </c>
      <c r="H83" s="154" t="s">
        <v>171</v>
      </c>
      <c r="I83" s="154" t="s">
        <v>170</v>
      </c>
      <c r="J83" s="38"/>
      <c r="K83" s="38"/>
      <c r="L83" s="38"/>
      <c r="M83" s="38"/>
    </row>
    <row r="84" spans="1:13" s="65" customFormat="1">
      <c r="A84" s="155" t="s">
        <v>257</v>
      </c>
      <c r="B84" s="156">
        <v>5</v>
      </c>
      <c r="C84" s="157">
        <f>'1.Project Cost and MOF'!$D$10/5</f>
        <v>315408.8</v>
      </c>
      <c r="D84" s="157">
        <f>'1.Project Cost and MOF'!$D$10/5</f>
        <v>315408.8</v>
      </c>
      <c r="E84" s="157">
        <f>'1.Project Cost and MOF'!$D$10/5</f>
        <v>315408.8</v>
      </c>
      <c r="F84" s="157">
        <f>'1.Project Cost and MOF'!$D$10/5</f>
        <v>315408.8</v>
      </c>
      <c r="G84" s="157">
        <f>'1.Project Cost and MOF'!$D$10/5</f>
        <v>315408.8</v>
      </c>
      <c r="H84" s="157">
        <v>0</v>
      </c>
      <c r="I84" s="157">
        <v>0</v>
      </c>
      <c r="J84" s="38"/>
      <c r="K84" s="38"/>
      <c r="L84" s="38"/>
      <c r="M84" s="38"/>
    </row>
    <row r="85" spans="1:13" s="65" customFormat="1">
      <c r="A85" s="158" t="s">
        <v>347</v>
      </c>
      <c r="B85" s="159"/>
      <c r="C85" s="160">
        <f t="shared" ref="C85:I85" si="52">SUM(C83:C84)</f>
        <v>315408.8</v>
      </c>
      <c r="D85" s="160">
        <f t="shared" si="52"/>
        <v>315408.8</v>
      </c>
      <c r="E85" s="160">
        <f t="shared" si="52"/>
        <v>315408.8</v>
      </c>
      <c r="F85" s="160">
        <f t="shared" si="52"/>
        <v>315408.8</v>
      </c>
      <c r="G85" s="160">
        <f t="shared" si="52"/>
        <v>315408.8</v>
      </c>
      <c r="H85" s="160">
        <f t="shared" si="52"/>
        <v>0</v>
      </c>
      <c r="I85" s="160">
        <f t="shared" si="52"/>
        <v>0</v>
      </c>
      <c r="J85" s="66"/>
      <c r="K85" s="66"/>
      <c r="L85" s="66"/>
      <c r="M85" s="66"/>
    </row>
    <row r="86" spans="1:13" s="65" customFormat="1">
      <c r="C86" s="38"/>
      <c r="D86" s="38"/>
      <c r="E86" s="38"/>
      <c r="F86" s="38"/>
      <c r="G86" s="38"/>
      <c r="H86" s="38"/>
      <c r="I86" s="38"/>
      <c r="J86" s="38"/>
      <c r="K86" s="38"/>
      <c r="L86" s="38"/>
      <c r="M86" s="38"/>
    </row>
    <row r="89" spans="1:13">
      <c r="A89" s="33"/>
      <c r="B89" s="34"/>
      <c r="C89" s="34"/>
      <c r="D89" s="34"/>
      <c r="E89" s="34"/>
      <c r="F89" s="34"/>
      <c r="G89" s="34"/>
      <c r="H89" s="34"/>
      <c r="I89" s="34"/>
      <c r="J89" s="34"/>
      <c r="K89" s="34"/>
      <c r="L89" s="34"/>
    </row>
    <row r="90" spans="1:13" ht="18.75">
      <c r="A90" s="452" t="s">
        <v>578</v>
      </c>
      <c r="B90" s="452"/>
      <c r="C90" s="452"/>
      <c r="D90" s="452"/>
      <c r="E90" s="452"/>
      <c r="F90" s="452"/>
      <c r="G90" s="452"/>
      <c r="H90" s="452"/>
      <c r="I90" s="149"/>
      <c r="J90" s="149"/>
      <c r="K90" s="149"/>
      <c r="L90" s="149"/>
    </row>
    <row r="91" spans="1:13">
      <c r="A91" s="35"/>
      <c r="B91" s="34"/>
      <c r="C91" s="34"/>
      <c r="D91" s="34"/>
      <c r="E91" s="34"/>
      <c r="F91" s="34"/>
      <c r="G91" s="34"/>
      <c r="H91" s="34"/>
      <c r="I91" s="34"/>
      <c r="J91" s="34"/>
      <c r="K91" s="34"/>
      <c r="L91" s="34"/>
    </row>
    <row r="92" spans="1:13">
      <c r="A92" s="148" t="s">
        <v>0</v>
      </c>
      <c r="B92" s="120" t="s">
        <v>2</v>
      </c>
      <c r="C92" s="120" t="s">
        <v>3</v>
      </c>
      <c r="D92" s="120" t="s">
        <v>4</v>
      </c>
      <c r="E92" s="120" t="s">
        <v>5</v>
      </c>
      <c r="F92" s="120" t="s">
        <v>6</v>
      </c>
      <c r="G92" s="120" t="s">
        <v>171</v>
      </c>
      <c r="H92" s="120" t="s">
        <v>170</v>
      </c>
      <c r="I92" s="28"/>
      <c r="J92" s="28"/>
      <c r="K92" s="28"/>
      <c r="L92" s="28"/>
    </row>
    <row r="93" spans="1:13">
      <c r="A93" s="88" t="s">
        <v>229</v>
      </c>
      <c r="B93" s="150">
        <f>'6.Cons Profit &amp; Loss'!B49</f>
        <v>2896280.2747985637</v>
      </c>
      <c r="C93" s="150">
        <f>'6.Cons Profit &amp; Loss'!C49</f>
        <v>5130138.1958898213</v>
      </c>
      <c r="D93" s="150">
        <f>'6.Cons Profit &amp; Loss'!D49</f>
        <v>6900176.8215152156</v>
      </c>
      <c r="E93" s="150">
        <f>'6.Cons Profit &amp; Loss'!E49</f>
        <v>8831483.8217841871</v>
      </c>
      <c r="F93" s="150">
        <f>'6.Cons Profit &amp; Loss'!F49</f>
        <v>10936455.708467277</v>
      </c>
      <c r="G93" s="150">
        <f>'6.Cons Profit &amp; Loss'!G49</f>
        <v>13368506.640975118</v>
      </c>
      <c r="H93" s="150">
        <f>'6.Cons Profit &amp; Loss'!H49</f>
        <v>16392574.6099291</v>
      </c>
      <c r="I93" s="37"/>
      <c r="J93" s="37"/>
      <c r="K93" s="37"/>
      <c r="L93" s="37"/>
    </row>
    <row r="94" spans="1:13">
      <c r="A94" s="88" t="s">
        <v>230</v>
      </c>
      <c r="B94" s="150">
        <f>'6.Cons Profit &amp; Loss'!B42</f>
        <v>1185445.3676999998</v>
      </c>
      <c r="C94" s="150">
        <f>'6.Cons Profit &amp; Loss'!C42</f>
        <v>1185445.3676999998</v>
      </c>
      <c r="D94" s="150">
        <f>'6.Cons Profit &amp; Loss'!D42</f>
        <v>1185445.3676999998</v>
      </c>
      <c r="E94" s="150">
        <f>'6.Cons Profit &amp; Loss'!E42</f>
        <v>1185445.3676999998</v>
      </c>
      <c r="F94" s="150">
        <f>'6.Cons Profit &amp; Loss'!F42</f>
        <v>1185445.3676999998</v>
      </c>
      <c r="G94" s="150">
        <f>'6.Cons Profit &amp; Loss'!G42</f>
        <v>1185445.3676999998</v>
      </c>
      <c r="H94" s="150">
        <f>'6.Cons Profit &amp; Loss'!H42</f>
        <v>1185445.3676999998</v>
      </c>
      <c r="I94" s="37"/>
      <c r="J94" s="37"/>
      <c r="K94" s="37"/>
      <c r="L94" s="37"/>
    </row>
    <row r="95" spans="1:13">
      <c r="A95" s="88" t="s">
        <v>231</v>
      </c>
      <c r="B95" s="150">
        <f>'3.Other Exp &amp; Taxes'!L64</f>
        <v>3447758.1</v>
      </c>
      <c r="C95" s="150">
        <f>'3.Other Exp &amp; Taxes'!M64</f>
        <v>3058931.79</v>
      </c>
      <c r="D95" s="150">
        <f>'3.Other Exp &amp; Taxes'!N64</f>
        <v>2715595.6860000002</v>
      </c>
      <c r="E95" s="150">
        <f>'3.Other Exp &amp; Taxes'!O64</f>
        <v>2412209.6311500003</v>
      </c>
      <c r="F95" s="150">
        <f>'3.Other Exp &amp; Taxes'!P64</f>
        <v>2143936.1547225001</v>
      </c>
      <c r="G95" s="150">
        <f>'3.Other Exp &amp; Taxes'!Q64</f>
        <v>1906547.9029346248</v>
      </c>
      <c r="H95" s="150">
        <f>'3.Other Exp &amp; Taxes'!R64</f>
        <v>1696347.6717728812</v>
      </c>
      <c r="I95" s="37"/>
      <c r="J95" s="37"/>
      <c r="K95" s="37"/>
      <c r="L95" s="37"/>
    </row>
    <row r="96" spans="1:13">
      <c r="A96" s="88" t="s">
        <v>292</v>
      </c>
      <c r="B96" s="150">
        <f t="shared" ref="B96:H96" si="53">B93+B94-B95</f>
        <v>633967.54249856342</v>
      </c>
      <c r="C96" s="150">
        <f t="shared" si="53"/>
        <v>3256651.7735898206</v>
      </c>
      <c r="D96" s="150">
        <f t="shared" si="53"/>
        <v>5370026.5032152142</v>
      </c>
      <c r="E96" s="150">
        <f t="shared" si="53"/>
        <v>7604719.5583341867</v>
      </c>
      <c r="F96" s="150">
        <f t="shared" si="53"/>
        <v>9977964.9214447755</v>
      </c>
      <c r="G96" s="150">
        <f t="shared" si="53"/>
        <v>12647404.105740491</v>
      </c>
      <c r="H96" s="150">
        <f t="shared" si="53"/>
        <v>15881672.305856219</v>
      </c>
      <c r="I96" s="37"/>
      <c r="J96" s="37"/>
      <c r="K96" s="37"/>
      <c r="L96" s="37"/>
    </row>
    <row r="97" spans="1:12">
      <c r="A97" s="90" t="s">
        <v>232</v>
      </c>
      <c r="B97" s="151">
        <f t="shared" ref="B97:H97" si="54">B96*$B$100</f>
        <v>164831.5610496265</v>
      </c>
      <c r="C97" s="151">
        <f t="shared" si="54"/>
        <v>846729.46113335341</v>
      </c>
      <c r="D97" s="151">
        <f t="shared" si="54"/>
        <v>1396206.8908359557</v>
      </c>
      <c r="E97" s="151">
        <f t="shared" si="54"/>
        <v>1977227.0851668885</v>
      </c>
      <c r="F97" s="151">
        <f t="shared" si="54"/>
        <v>2594270.8795756418</v>
      </c>
      <c r="G97" s="151">
        <f t="shared" si="54"/>
        <v>3288325.0674925279</v>
      </c>
      <c r="H97" s="151">
        <f t="shared" si="54"/>
        <v>4129234.7995226169</v>
      </c>
      <c r="I97" s="37"/>
      <c r="J97" s="37"/>
      <c r="K97" s="37"/>
      <c r="L97" s="37"/>
    </row>
    <row r="98" spans="1:12">
      <c r="A98" s="36"/>
      <c r="B98" s="34"/>
      <c r="C98" s="34"/>
      <c r="D98" s="34"/>
      <c r="E98" s="34"/>
      <c r="F98" s="34"/>
      <c r="G98" s="34"/>
      <c r="H98" s="34"/>
      <c r="I98" s="34"/>
      <c r="J98" s="34"/>
      <c r="K98" s="34"/>
      <c r="L98" s="34"/>
    </row>
    <row r="99" spans="1:12">
      <c r="A99" s="36"/>
      <c r="B99" s="38"/>
      <c r="C99" s="38"/>
      <c r="D99" s="38"/>
      <c r="E99" s="38"/>
      <c r="F99" s="38"/>
      <c r="G99" s="38"/>
      <c r="H99" s="38"/>
      <c r="I99" s="38"/>
      <c r="J99" s="38"/>
      <c r="K99" s="38"/>
      <c r="L99" s="38"/>
    </row>
    <row r="100" spans="1:12">
      <c r="A100" s="39" t="s">
        <v>403</v>
      </c>
      <c r="B100" s="272">
        <v>0.26</v>
      </c>
      <c r="C100" s="38"/>
      <c r="D100" s="38"/>
      <c r="E100" s="38"/>
      <c r="F100" s="38"/>
      <c r="G100" s="38"/>
      <c r="H100" s="38"/>
      <c r="I100" s="38"/>
      <c r="J100" s="38"/>
      <c r="K100" s="38"/>
      <c r="L100" s="38"/>
    </row>
    <row r="101" spans="1:12">
      <c r="A101" s="34"/>
      <c r="B101" s="34"/>
      <c r="C101" s="34"/>
      <c r="D101" s="34"/>
      <c r="E101" s="34"/>
      <c r="F101" s="34"/>
      <c r="G101" s="34"/>
      <c r="H101" s="34"/>
      <c r="I101" s="34"/>
      <c r="J101" s="34"/>
      <c r="K101" s="34"/>
      <c r="L101" s="34"/>
    </row>
    <row r="102" spans="1:12" ht="29.1" customHeight="1">
      <c r="A102" s="449" t="s">
        <v>435</v>
      </c>
      <c r="B102" s="449"/>
      <c r="C102" s="449"/>
      <c r="D102" s="449"/>
      <c r="E102" s="449"/>
      <c r="F102" s="449"/>
      <c r="G102" s="449"/>
      <c r="H102" s="449"/>
      <c r="I102" s="32"/>
      <c r="J102" s="32"/>
      <c r="K102" s="32"/>
      <c r="L102" s="32"/>
    </row>
  </sheetData>
  <mergeCells count="8">
    <mergeCell ref="A102:H102"/>
    <mergeCell ref="C30:I30"/>
    <mergeCell ref="L30:R30"/>
    <mergeCell ref="A28:I28"/>
    <mergeCell ref="A2:K2"/>
    <mergeCell ref="A90:H90"/>
    <mergeCell ref="K28:R28"/>
    <mergeCell ref="A81:I81"/>
  </mergeCells>
  <pageMargins left="0.18" right="0.25"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98"/>
  <sheetViews>
    <sheetView view="pageBreakPreview" zoomScale="80" zoomScaleSheetLayoutView="80" workbookViewId="0">
      <selection activeCell="A2" sqref="A2:H95"/>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36" t="s">
        <v>579</v>
      </c>
      <c r="B2" s="436"/>
      <c r="C2" s="436"/>
      <c r="D2" s="436"/>
      <c r="E2" s="436"/>
      <c r="F2" s="436"/>
      <c r="G2" s="436"/>
    </row>
    <row r="3" spans="1:7">
      <c r="B3" s="15"/>
      <c r="C3" s="15"/>
      <c r="D3" s="15"/>
      <c r="E3" s="15"/>
      <c r="F3" s="15"/>
      <c r="G3" s="15"/>
    </row>
    <row r="4" spans="1:7">
      <c r="A4" s="94"/>
      <c r="B4" s="94"/>
      <c r="C4" s="94" t="s">
        <v>481</v>
      </c>
      <c r="D4" s="112">
        <f>'1.Project Cost and MOF'!E20</f>
        <v>8279481.25</v>
      </c>
      <c r="E4" s="94"/>
      <c r="F4" s="94"/>
      <c r="G4" s="94"/>
    </row>
    <row r="5" spans="1:7">
      <c r="A5" s="94"/>
      <c r="B5" s="94"/>
      <c r="C5" s="94" t="s">
        <v>482</v>
      </c>
      <c r="D5" s="266">
        <v>0.12</v>
      </c>
      <c r="E5" s="94"/>
      <c r="F5" s="94"/>
      <c r="G5" s="94"/>
    </row>
    <row r="6" spans="1:7">
      <c r="A6" s="94"/>
      <c r="B6" s="94"/>
      <c r="C6" s="94" t="s">
        <v>483</v>
      </c>
      <c r="D6" s="267">
        <v>7</v>
      </c>
      <c r="E6" s="94"/>
      <c r="F6" s="94"/>
      <c r="G6" s="94"/>
    </row>
    <row r="7" spans="1:7">
      <c r="A7" s="94"/>
      <c r="B7" s="94"/>
      <c r="C7" s="94" t="s">
        <v>484</v>
      </c>
      <c r="D7" s="267">
        <v>6</v>
      </c>
      <c r="E7" s="94"/>
      <c r="F7" s="94"/>
      <c r="G7" s="94"/>
    </row>
    <row r="8" spans="1:7">
      <c r="A8" s="94"/>
      <c r="B8" s="94"/>
      <c r="C8" s="94" t="s">
        <v>22</v>
      </c>
      <c r="D8" s="201">
        <f>PMT(D5/12,(D6-(D7/12))*12,-D4)</f>
        <v>153376.38878087312</v>
      </c>
      <c r="E8" s="201"/>
      <c r="F8" s="255"/>
      <c r="G8" s="94"/>
    </row>
    <row r="9" spans="1:7">
      <c r="A9" s="148" t="s">
        <v>293</v>
      </c>
      <c r="B9" s="202" t="s">
        <v>18</v>
      </c>
      <c r="C9" s="203" t="s">
        <v>19</v>
      </c>
      <c r="D9" s="203" t="s">
        <v>20</v>
      </c>
      <c r="E9" s="203" t="s">
        <v>21</v>
      </c>
      <c r="F9" s="203" t="s">
        <v>22</v>
      </c>
      <c r="G9" s="203" t="s">
        <v>23</v>
      </c>
    </row>
    <row r="10" spans="1:7">
      <c r="A10" s="95" t="s">
        <v>11</v>
      </c>
      <c r="B10" s="95" t="s">
        <v>52</v>
      </c>
      <c r="C10" s="96">
        <f>D4</f>
        <v>8279481.25</v>
      </c>
      <c r="D10" s="96">
        <f t="shared" ref="D10:D41" si="0">C10*$D$5/12</f>
        <v>82794.8125</v>
      </c>
      <c r="E10" s="96">
        <f t="shared" ref="E10:E15" si="1">F10-D10</f>
        <v>0</v>
      </c>
      <c r="F10" s="96">
        <f>D10</f>
        <v>82794.8125</v>
      </c>
      <c r="G10" s="96">
        <f>C10-E10</f>
        <v>8279481.25</v>
      </c>
    </row>
    <row r="11" spans="1:7">
      <c r="A11" s="95"/>
      <c r="B11" s="95" t="s">
        <v>53</v>
      </c>
      <c r="C11" s="96">
        <f>G10</f>
        <v>8279481.25</v>
      </c>
      <c r="D11" s="96">
        <f t="shared" si="0"/>
        <v>82794.8125</v>
      </c>
      <c r="E11" s="96">
        <f t="shared" si="1"/>
        <v>0</v>
      </c>
      <c r="F11" s="96">
        <f t="shared" ref="F11:F15" si="2">D11</f>
        <v>82794.8125</v>
      </c>
      <c r="G11" s="96">
        <f t="shared" ref="G11:G74" si="3">C11-E11</f>
        <v>8279481.25</v>
      </c>
    </row>
    <row r="12" spans="1:7">
      <c r="A12" s="95"/>
      <c r="B12" s="95" t="s">
        <v>54</v>
      </c>
      <c r="C12" s="96">
        <f t="shared" ref="C12:C75" si="4">G11</f>
        <v>8279481.25</v>
      </c>
      <c r="D12" s="96">
        <f t="shared" si="0"/>
        <v>82794.8125</v>
      </c>
      <c r="E12" s="96">
        <f t="shared" si="1"/>
        <v>0</v>
      </c>
      <c r="F12" s="96">
        <f t="shared" si="2"/>
        <v>82794.8125</v>
      </c>
      <c r="G12" s="96">
        <f t="shared" si="3"/>
        <v>8279481.25</v>
      </c>
    </row>
    <row r="13" spans="1:7">
      <c r="A13" s="95"/>
      <c r="B13" s="95" t="s">
        <v>55</v>
      </c>
      <c r="C13" s="96">
        <f t="shared" si="4"/>
        <v>8279481.25</v>
      </c>
      <c r="D13" s="96">
        <f t="shared" si="0"/>
        <v>82794.8125</v>
      </c>
      <c r="E13" s="96">
        <f t="shared" si="1"/>
        <v>0</v>
      </c>
      <c r="F13" s="96">
        <f t="shared" si="2"/>
        <v>82794.8125</v>
      </c>
      <c r="G13" s="96">
        <f t="shared" si="3"/>
        <v>8279481.25</v>
      </c>
    </row>
    <row r="14" spans="1:7">
      <c r="A14" s="95"/>
      <c r="B14" s="95" t="s">
        <v>56</v>
      </c>
      <c r="C14" s="96">
        <f t="shared" si="4"/>
        <v>8279481.25</v>
      </c>
      <c r="D14" s="96">
        <f t="shared" si="0"/>
        <v>82794.8125</v>
      </c>
      <c r="E14" s="96">
        <f t="shared" si="1"/>
        <v>0</v>
      </c>
      <c r="F14" s="96">
        <f t="shared" si="2"/>
        <v>82794.8125</v>
      </c>
      <c r="G14" s="96">
        <f t="shared" si="3"/>
        <v>8279481.25</v>
      </c>
    </row>
    <row r="15" spans="1:7">
      <c r="A15" s="95"/>
      <c r="B15" s="95" t="s">
        <v>57</v>
      </c>
      <c r="C15" s="96">
        <f t="shared" si="4"/>
        <v>8279481.25</v>
      </c>
      <c r="D15" s="96">
        <f t="shared" si="0"/>
        <v>82794.8125</v>
      </c>
      <c r="E15" s="96">
        <f t="shared" si="1"/>
        <v>0</v>
      </c>
      <c r="F15" s="96">
        <f t="shared" si="2"/>
        <v>82794.8125</v>
      </c>
      <c r="G15" s="96">
        <f t="shared" si="3"/>
        <v>8279481.25</v>
      </c>
    </row>
    <row r="16" spans="1:7">
      <c r="A16" s="95"/>
      <c r="B16" s="95" t="s">
        <v>58</v>
      </c>
      <c r="C16" s="96">
        <f t="shared" si="4"/>
        <v>8279481.25</v>
      </c>
      <c r="D16" s="96">
        <f t="shared" si="0"/>
        <v>82794.8125</v>
      </c>
      <c r="E16" s="96">
        <f>F16-D16</f>
        <v>70581.576280873123</v>
      </c>
      <c r="F16" s="96">
        <f t="shared" ref="F16:F74" si="5">$D$8</f>
        <v>153376.38878087312</v>
      </c>
      <c r="G16" s="96">
        <f t="shared" si="3"/>
        <v>8208899.6737191267</v>
      </c>
    </row>
    <row r="17" spans="1:9">
      <c r="A17" s="95"/>
      <c r="B17" s="95" t="s">
        <v>59</v>
      </c>
      <c r="C17" s="96">
        <f t="shared" si="4"/>
        <v>8208899.6737191267</v>
      </c>
      <c r="D17" s="96">
        <f t="shared" si="0"/>
        <v>82088.996737191264</v>
      </c>
      <c r="E17" s="96">
        <f t="shared" ref="E17:E80" si="6">F17-D17</f>
        <v>71287.392043681859</v>
      </c>
      <c r="F17" s="96">
        <f t="shared" si="5"/>
        <v>153376.38878087312</v>
      </c>
      <c r="G17" s="96">
        <f t="shared" si="3"/>
        <v>8137612.2816754449</v>
      </c>
    </row>
    <row r="18" spans="1:9">
      <c r="A18" s="95"/>
      <c r="B18" s="95" t="s">
        <v>60</v>
      </c>
      <c r="C18" s="96">
        <f t="shared" si="4"/>
        <v>8137612.2816754449</v>
      </c>
      <c r="D18" s="96">
        <f t="shared" si="0"/>
        <v>81376.122816754447</v>
      </c>
      <c r="E18" s="96">
        <f t="shared" si="6"/>
        <v>72000.265964118676</v>
      </c>
      <c r="F18" s="96">
        <f t="shared" si="5"/>
        <v>153376.38878087312</v>
      </c>
      <c r="G18" s="96">
        <f t="shared" si="3"/>
        <v>8065612.0157113262</v>
      </c>
    </row>
    <row r="19" spans="1:9">
      <c r="A19" s="95"/>
      <c r="B19" s="95" t="s">
        <v>61</v>
      </c>
      <c r="C19" s="96">
        <f t="shared" si="4"/>
        <v>8065612.0157113262</v>
      </c>
      <c r="D19" s="96">
        <f t="shared" si="0"/>
        <v>80656.120157113255</v>
      </c>
      <c r="E19" s="96">
        <f t="shared" si="6"/>
        <v>72720.268623759868</v>
      </c>
      <c r="F19" s="96">
        <f t="shared" si="5"/>
        <v>153376.38878087312</v>
      </c>
      <c r="G19" s="96">
        <f t="shared" si="3"/>
        <v>7992891.7470875662</v>
      </c>
    </row>
    <row r="20" spans="1:9">
      <c r="A20" s="95"/>
      <c r="B20" s="95" t="s">
        <v>62</v>
      </c>
      <c r="C20" s="96">
        <f t="shared" si="4"/>
        <v>7992891.7470875662</v>
      </c>
      <c r="D20" s="96">
        <f t="shared" si="0"/>
        <v>79928.917470875662</v>
      </c>
      <c r="E20" s="96">
        <f t="shared" si="6"/>
        <v>73447.471309997462</v>
      </c>
      <c r="F20" s="96">
        <f t="shared" si="5"/>
        <v>153376.38878087312</v>
      </c>
      <c r="G20" s="96">
        <f t="shared" si="3"/>
        <v>7919444.275777569</v>
      </c>
    </row>
    <row r="21" spans="1:9">
      <c r="A21" s="95"/>
      <c r="B21" s="95" t="s">
        <v>63</v>
      </c>
      <c r="C21" s="96">
        <f t="shared" si="4"/>
        <v>7919444.275777569</v>
      </c>
      <c r="D21" s="96">
        <f t="shared" si="0"/>
        <v>79194.442757775687</v>
      </c>
      <c r="E21" s="96">
        <f t="shared" si="6"/>
        <v>74181.946023097436</v>
      </c>
      <c r="F21" s="96">
        <f t="shared" si="5"/>
        <v>153376.38878087312</v>
      </c>
      <c r="G21" s="96">
        <f t="shared" si="3"/>
        <v>7845262.3297544718</v>
      </c>
      <c r="H21" s="1"/>
      <c r="I21" s="1"/>
    </row>
    <row r="22" spans="1:9">
      <c r="A22" s="95" t="s">
        <v>12</v>
      </c>
      <c r="B22" s="95" t="s">
        <v>64</v>
      </c>
      <c r="C22" s="96">
        <f t="shared" si="4"/>
        <v>7845262.3297544718</v>
      </c>
      <c r="D22" s="96">
        <f t="shared" si="0"/>
        <v>78452.623297544706</v>
      </c>
      <c r="E22" s="96">
        <f t="shared" si="6"/>
        <v>74923.765483328418</v>
      </c>
      <c r="F22" s="96">
        <f t="shared" si="5"/>
        <v>153376.38878087312</v>
      </c>
      <c r="G22" s="96">
        <f t="shared" si="3"/>
        <v>7770338.5642711436</v>
      </c>
    </row>
    <row r="23" spans="1:9">
      <c r="A23" s="95"/>
      <c r="B23" s="95" t="s">
        <v>65</v>
      </c>
      <c r="C23" s="96">
        <f t="shared" si="4"/>
        <v>7770338.5642711436</v>
      </c>
      <c r="D23" s="96">
        <f t="shared" si="0"/>
        <v>77703.385642711437</v>
      </c>
      <c r="E23" s="96">
        <f t="shared" si="6"/>
        <v>75673.003138161686</v>
      </c>
      <c r="F23" s="96">
        <f t="shared" si="5"/>
        <v>153376.38878087312</v>
      </c>
      <c r="G23" s="96">
        <f t="shared" si="3"/>
        <v>7694665.5611329824</v>
      </c>
    </row>
    <row r="24" spans="1:9">
      <c r="A24" s="95"/>
      <c r="B24" s="95" t="s">
        <v>66</v>
      </c>
      <c r="C24" s="96">
        <f t="shared" si="4"/>
        <v>7694665.5611329824</v>
      </c>
      <c r="D24" s="96">
        <f t="shared" si="0"/>
        <v>76946.655611329814</v>
      </c>
      <c r="E24" s="96">
        <f t="shared" si="6"/>
        <v>76429.733169543309</v>
      </c>
      <c r="F24" s="96">
        <f t="shared" si="5"/>
        <v>153376.38878087312</v>
      </c>
      <c r="G24" s="96">
        <f t="shared" si="3"/>
        <v>7618235.8279634388</v>
      </c>
    </row>
    <row r="25" spans="1:9">
      <c r="A25" s="95"/>
      <c r="B25" s="95" t="s">
        <v>67</v>
      </c>
      <c r="C25" s="96">
        <f t="shared" si="4"/>
        <v>7618235.8279634388</v>
      </c>
      <c r="D25" s="96">
        <f t="shared" si="0"/>
        <v>76182.358279634384</v>
      </c>
      <c r="E25" s="96">
        <f t="shared" si="6"/>
        <v>77194.03050123874</v>
      </c>
      <c r="F25" s="96">
        <f t="shared" si="5"/>
        <v>153376.38878087312</v>
      </c>
      <c r="G25" s="96">
        <f t="shared" si="3"/>
        <v>7541041.7974621998</v>
      </c>
    </row>
    <row r="26" spans="1:9">
      <c r="A26" s="95"/>
      <c r="B26" s="95" t="s">
        <v>68</v>
      </c>
      <c r="C26" s="96">
        <f t="shared" si="4"/>
        <v>7541041.7974621998</v>
      </c>
      <c r="D26" s="96">
        <f t="shared" si="0"/>
        <v>75410.417974622003</v>
      </c>
      <c r="E26" s="96">
        <f t="shared" si="6"/>
        <v>77965.97080625112</v>
      </c>
      <c r="F26" s="96">
        <f t="shared" si="5"/>
        <v>153376.38878087312</v>
      </c>
      <c r="G26" s="96">
        <f t="shared" si="3"/>
        <v>7463075.8266559485</v>
      </c>
    </row>
    <row r="27" spans="1:9">
      <c r="A27" s="95"/>
      <c r="B27" s="95" t="s">
        <v>69</v>
      </c>
      <c r="C27" s="96">
        <f t="shared" si="4"/>
        <v>7463075.8266559485</v>
      </c>
      <c r="D27" s="96">
        <f t="shared" si="0"/>
        <v>74630.758266559482</v>
      </c>
      <c r="E27" s="96">
        <f t="shared" si="6"/>
        <v>78745.630514313641</v>
      </c>
      <c r="F27" s="96">
        <f t="shared" si="5"/>
        <v>153376.38878087312</v>
      </c>
      <c r="G27" s="96">
        <f t="shared" si="3"/>
        <v>7384330.1961416351</v>
      </c>
    </row>
    <row r="28" spans="1:9">
      <c r="A28" s="95"/>
      <c r="B28" s="95" t="s">
        <v>70</v>
      </c>
      <c r="C28" s="96">
        <f t="shared" si="4"/>
        <v>7384330.1961416351</v>
      </c>
      <c r="D28" s="96">
        <f t="shared" si="0"/>
        <v>73843.30196141635</v>
      </c>
      <c r="E28" s="96">
        <f t="shared" si="6"/>
        <v>79533.086819456774</v>
      </c>
      <c r="F28" s="96">
        <f t="shared" si="5"/>
        <v>153376.38878087312</v>
      </c>
      <c r="G28" s="96">
        <f t="shared" si="3"/>
        <v>7304797.1093221782</v>
      </c>
    </row>
    <row r="29" spans="1:9">
      <c r="A29" s="95"/>
      <c r="B29" s="95" t="s">
        <v>71</v>
      </c>
      <c r="C29" s="96">
        <f t="shared" si="4"/>
        <v>7304797.1093221782</v>
      </c>
      <c r="D29" s="96">
        <f t="shared" si="0"/>
        <v>73047.971093221786</v>
      </c>
      <c r="E29" s="96">
        <f t="shared" si="6"/>
        <v>80328.417687651337</v>
      </c>
      <c r="F29" s="96">
        <f t="shared" si="5"/>
        <v>153376.38878087312</v>
      </c>
      <c r="G29" s="96">
        <f t="shared" si="3"/>
        <v>7224468.6916345265</v>
      </c>
    </row>
    <row r="30" spans="1:9">
      <c r="A30" s="95"/>
      <c r="B30" s="95" t="s">
        <v>72</v>
      </c>
      <c r="C30" s="96">
        <f t="shared" si="4"/>
        <v>7224468.6916345265</v>
      </c>
      <c r="D30" s="96">
        <f t="shared" si="0"/>
        <v>72244.686916345265</v>
      </c>
      <c r="E30" s="96">
        <f t="shared" si="6"/>
        <v>81131.701864527859</v>
      </c>
      <c r="F30" s="96">
        <f t="shared" si="5"/>
        <v>153376.38878087312</v>
      </c>
      <c r="G30" s="96">
        <f t="shared" si="3"/>
        <v>7143336.9897699989</v>
      </c>
    </row>
    <row r="31" spans="1:9">
      <c r="A31" s="95"/>
      <c r="B31" s="95" t="s">
        <v>73</v>
      </c>
      <c r="C31" s="96">
        <f t="shared" si="4"/>
        <v>7143336.9897699989</v>
      </c>
      <c r="D31" s="96">
        <f t="shared" si="0"/>
        <v>71433.369897699988</v>
      </c>
      <c r="E31" s="96">
        <f t="shared" si="6"/>
        <v>81943.018883173136</v>
      </c>
      <c r="F31" s="96">
        <f t="shared" si="5"/>
        <v>153376.38878087312</v>
      </c>
      <c r="G31" s="96">
        <f t="shared" si="3"/>
        <v>7061393.9708868256</v>
      </c>
    </row>
    <row r="32" spans="1:9">
      <c r="A32" s="95"/>
      <c r="B32" s="95" t="s">
        <v>74</v>
      </c>
      <c r="C32" s="96">
        <f t="shared" si="4"/>
        <v>7061393.9708868256</v>
      </c>
      <c r="D32" s="96">
        <f t="shared" si="0"/>
        <v>70613.93970886826</v>
      </c>
      <c r="E32" s="96">
        <f t="shared" si="6"/>
        <v>82762.449072004863</v>
      </c>
      <c r="F32" s="96">
        <f t="shared" si="5"/>
        <v>153376.38878087312</v>
      </c>
      <c r="G32" s="96">
        <f t="shared" si="3"/>
        <v>6978631.5218148204</v>
      </c>
    </row>
    <row r="33" spans="1:9">
      <c r="A33" s="95"/>
      <c r="B33" s="95" t="s">
        <v>75</v>
      </c>
      <c r="C33" s="96">
        <f t="shared" si="4"/>
        <v>6978631.5218148204</v>
      </c>
      <c r="D33" s="96">
        <f t="shared" si="0"/>
        <v>69786.3152181482</v>
      </c>
      <c r="E33" s="96">
        <f t="shared" si="6"/>
        <v>83590.073562724923</v>
      </c>
      <c r="F33" s="96">
        <f t="shared" si="5"/>
        <v>153376.38878087312</v>
      </c>
      <c r="G33" s="96">
        <f t="shared" si="3"/>
        <v>6895041.4482520958</v>
      </c>
      <c r="H33" s="1"/>
      <c r="I33" s="1"/>
    </row>
    <row r="34" spans="1:9">
      <c r="A34" s="95" t="s">
        <v>13</v>
      </c>
      <c r="B34" s="95" t="s">
        <v>76</v>
      </c>
      <c r="C34" s="96">
        <f t="shared" si="4"/>
        <v>6895041.4482520958</v>
      </c>
      <c r="D34" s="96">
        <f t="shared" si="0"/>
        <v>68950.414482520951</v>
      </c>
      <c r="E34" s="96">
        <f t="shared" si="6"/>
        <v>84425.974298352172</v>
      </c>
      <c r="F34" s="96">
        <f t="shared" si="5"/>
        <v>153376.38878087312</v>
      </c>
      <c r="G34" s="96">
        <f t="shared" si="3"/>
        <v>6810615.4739537435</v>
      </c>
    </row>
    <row r="35" spans="1:9">
      <c r="A35" s="95"/>
      <c r="B35" s="95" t="s">
        <v>77</v>
      </c>
      <c r="C35" s="96">
        <f t="shared" si="4"/>
        <v>6810615.4739537435</v>
      </c>
      <c r="D35" s="96">
        <f t="shared" si="0"/>
        <v>68106.154739537436</v>
      </c>
      <c r="E35" s="96">
        <f t="shared" si="6"/>
        <v>85270.234041335687</v>
      </c>
      <c r="F35" s="96">
        <f t="shared" si="5"/>
        <v>153376.38878087312</v>
      </c>
      <c r="G35" s="96">
        <f t="shared" si="3"/>
        <v>6725345.2399124075</v>
      </c>
    </row>
    <row r="36" spans="1:9">
      <c r="A36" s="95"/>
      <c r="B36" s="95" t="s">
        <v>78</v>
      </c>
      <c r="C36" s="96">
        <f t="shared" si="4"/>
        <v>6725345.2399124075</v>
      </c>
      <c r="D36" s="96">
        <f t="shared" si="0"/>
        <v>67253.452399124071</v>
      </c>
      <c r="E36" s="96">
        <f t="shared" si="6"/>
        <v>86122.936381749052</v>
      </c>
      <c r="F36" s="96">
        <f t="shared" si="5"/>
        <v>153376.38878087312</v>
      </c>
      <c r="G36" s="96">
        <f t="shared" si="3"/>
        <v>6639222.3035306586</v>
      </c>
    </row>
    <row r="37" spans="1:9">
      <c r="A37" s="95"/>
      <c r="B37" s="95" t="s">
        <v>79</v>
      </c>
      <c r="C37" s="96">
        <f t="shared" si="4"/>
        <v>6639222.3035306586</v>
      </c>
      <c r="D37" s="96">
        <f t="shared" si="0"/>
        <v>66392.223035306582</v>
      </c>
      <c r="E37" s="96">
        <f t="shared" si="6"/>
        <v>86984.165745566541</v>
      </c>
      <c r="F37" s="96">
        <f t="shared" si="5"/>
        <v>153376.38878087312</v>
      </c>
      <c r="G37" s="96">
        <f t="shared" si="3"/>
        <v>6552238.137785092</v>
      </c>
    </row>
    <row r="38" spans="1:9">
      <c r="A38" s="95"/>
      <c r="B38" s="95" t="s">
        <v>80</v>
      </c>
      <c r="C38" s="96">
        <f t="shared" si="4"/>
        <v>6552238.137785092</v>
      </c>
      <c r="D38" s="96">
        <f t="shared" si="0"/>
        <v>65522.381377850921</v>
      </c>
      <c r="E38" s="96">
        <f t="shared" si="6"/>
        <v>87854.007403022202</v>
      </c>
      <c r="F38" s="96">
        <f t="shared" si="5"/>
        <v>153376.38878087312</v>
      </c>
      <c r="G38" s="96">
        <f t="shared" si="3"/>
        <v>6464384.1303820694</v>
      </c>
    </row>
    <row r="39" spans="1:9">
      <c r="A39" s="95"/>
      <c r="B39" s="95" t="s">
        <v>81</v>
      </c>
      <c r="C39" s="96">
        <f t="shared" si="4"/>
        <v>6464384.1303820694</v>
      </c>
      <c r="D39" s="96">
        <f t="shared" si="0"/>
        <v>64643.841303820693</v>
      </c>
      <c r="E39" s="96">
        <f t="shared" si="6"/>
        <v>88732.547477052431</v>
      </c>
      <c r="F39" s="96">
        <f t="shared" si="5"/>
        <v>153376.38878087312</v>
      </c>
      <c r="G39" s="96">
        <f t="shared" si="3"/>
        <v>6375651.5829050168</v>
      </c>
    </row>
    <row r="40" spans="1:9">
      <c r="A40" s="95"/>
      <c r="B40" s="95" t="s">
        <v>82</v>
      </c>
      <c r="C40" s="96">
        <f t="shared" si="4"/>
        <v>6375651.5829050168</v>
      </c>
      <c r="D40" s="96">
        <f t="shared" si="0"/>
        <v>63756.515829050164</v>
      </c>
      <c r="E40" s="96">
        <f t="shared" si="6"/>
        <v>89619.872951822967</v>
      </c>
      <c r="F40" s="96">
        <f t="shared" si="5"/>
        <v>153376.38878087312</v>
      </c>
      <c r="G40" s="96">
        <f t="shared" si="3"/>
        <v>6286031.7099531936</v>
      </c>
    </row>
    <row r="41" spans="1:9">
      <c r="A41" s="95"/>
      <c r="B41" s="95" t="s">
        <v>83</v>
      </c>
      <c r="C41" s="96">
        <f t="shared" si="4"/>
        <v>6286031.7099531936</v>
      </c>
      <c r="D41" s="96">
        <f t="shared" si="0"/>
        <v>62860.317099531938</v>
      </c>
      <c r="E41" s="96">
        <f t="shared" si="6"/>
        <v>90516.071681341185</v>
      </c>
      <c r="F41" s="96">
        <f t="shared" si="5"/>
        <v>153376.38878087312</v>
      </c>
      <c r="G41" s="96">
        <f t="shared" si="3"/>
        <v>6195515.6382718524</v>
      </c>
    </row>
    <row r="42" spans="1:9">
      <c r="A42" s="95"/>
      <c r="B42" s="95" t="s">
        <v>84</v>
      </c>
      <c r="C42" s="96">
        <f t="shared" si="4"/>
        <v>6195515.6382718524</v>
      </c>
      <c r="D42" s="96">
        <f t="shared" ref="D42:D73" si="7">C42*$D$5/12</f>
        <v>61955.156382718524</v>
      </c>
      <c r="E42" s="96">
        <f t="shared" si="6"/>
        <v>91421.232398154592</v>
      </c>
      <c r="F42" s="96">
        <f t="shared" si="5"/>
        <v>153376.38878087312</v>
      </c>
      <c r="G42" s="96">
        <f t="shared" si="3"/>
        <v>6104094.4058736982</v>
      </c>
    </row>
    <row r="43" spans="1:9">
      <c r="A43" s="95"/>
      <c r="B43" s="95" t="s">
        <v>85</v>
      </c>
      <c r="C43" s="96">
        <f t="shared" si="4"/>
        <v>6104094.4058736982</v>
      </c>
      <c r="D43" s="96">
        <f t="shared" si="7"/>
        <v>61040.944058736983</v>
      </c>
      <c r="E43" s="96">
        <f t="shared" si="6"/>
        <v>92335.444722136133</v>
      </c>
      <c r="F43" s="96">
        <f t="shared" si="5"/>
        <v>153376.38878087312</v>
      </c>
      <c r="G43" s="96">
        <f t="shared" si="3"/>
        <v>6011758.9611515617</v>
      </c>
    </row>
    <row r="44" spans="1:9">
      <c r="A44" s="95"/>
      <c r="B44" s="95" t="s">
        <v>86</v>
      </c>
      <c r="C44" s="96">
        <f t="shared" si="4"/>
        <v>6011758.9611515617</v>
      </c>
      <c r="D44" s="96">
        <f t="shared" si="7"/>
        <v>60117.589611515614</v>
      </c>
      <c r="E44" s="96">
        <f t="shared" si="6"/>
        <v>93258.799169357517</v>
      </c>
      <c r="F44" s="96">
        <f t="shared" si="5"/>
        <v>153376.38878087312</v>
      </c>
      <c r="G44" s="96">
        <f t="shared" si="3"/>
        <v>5918500.1619822038</v>
      </c>
    </row>
    <row r="45" spans="1:9">
      <c r="A45" s="95"/>
      <c r="B45" s="95" t="s">
        <v>87</v>
      </c>
      <c r="C45" s="96">
        <f t="shared" si="4"/>
        <v>5918500.1619822038</v>
      </c>
      <c r="D45" s="96">
        <f t="shared" si="7"/>
        <v>59185.001619822033</v>
      </c>
      <c r="E45" s="96">
        <f t="shared" si="6"/>
        <v>94191.387161051098</v>
      </c>
      <c r="F45" s="96">
        <f t="shared" si="5"/>
        <v>153376.38878087312</v>
      </c>
      <c r="G45" s="96">
        <f t="shared" si="3"/>
        <v>5824308.7748211529</v>
      </c>
      <c r="H45" s="1"/>
      <c r="I45" s="1"/>
    </row>
    <row r="46" spans="1:9">
      <c r="A46" s="95" t="s">
        <v>14</v>
      </c>
      <c r="B46" s="95" t="s">
        <v>88</v>
      </c>
      <c r="C46" s="96">
        <f t="shared" si="4"/>
        <v>5824308.7748211529</v>
      </c>
      <c r="D46" s="96">
        <f t="shared" si="7"/>
        <v>58243.087748211525</v>
      </c>
      <c r="E46" s="96">
        <f t="shared" si="6"/>
        <v>95133.301032661606</v>
      </c>
      <c r="F46" s="96">
        <f t="shared" si="5"/>
        <v>153376.38878087312</v>
      </c>
      <c r="G46" s="96">
        <f t="shared" si="3"/>
        <v>5729175.4737884915</v>
      </c>
    </row>
    <row r="47" spans="1:9">
      <c r="A47" s="95"/>
      <c r="B47" s="95" t="s">
        <v>89</v>
      </c>
      <c r="C47" s="96">
        <f t="shared" si="4"/>
        <v>5729175.4737884915</v>
      </c>
      <c r="D47" s="96">
        <f t="shared" si="7"/>
        <v>57291.754737884912</v>
      </c>
      <c r="E47" s="96">
        <f t="shared" si="6"/>
        <v>96084.634042988211</v>
      </c>
      <c r="F47" s="96">
        <f t="shared" si="5"/>
        <v>153376.38878087312</v>
      </c>
      <c r="G47" s="96">
        <f t="shared" si="3"/>
        <v>5633090.8397455029</v>
      </c>
    </row>
    <row r="48" spans="1:9">
      <c r="A48" s="95"/>
      <c r="B48" s="95" t="s">
        <v>90</v>
      </c>
      <c r="C48" s="96">
        <f t="shared" si="4"/>
        <v>5633090.8397455029</v>
      </c>
      <c r="D48" s="96">
        <f t="shared" si="7"/>
        <v>56330.90839745503</v>
      </c>
      <c r="E48" s="96">
        <f t="shared" si="6"/>
        <v>97045.480383418093</v>
      </c>
      <c r="F48" s="96">
        <f t="shared" si="5"/>
        <v>153376.38878087312</v>
      </c>
      <c r="G48" s="96">
        <f t="shared" si="3"/>
        <v>5536045.3593620844</v>
      </c>
    </row>
    <row r="49" spans="1:9">
      <c r="A49" s="95"/>
      <c r="B49" s="95" t="s">
        <v>91</v>
      </c>
      <c r="C49" s="96">
        <f t="shared" si="4"/>
        <v>5536045.3593620844</v>
      </c>
      <c r="D49" s="96">
        <f t="shared" si="7"/>
        <v>55360.453593620849</v>
      </c>
      <c r="E49" s="96">
        <f t="shared" si="6"/>
        <v>98015.935187252267</v>
      </c>
      <c r="F49" s="96">
        <f t="shared" si="5"/>
        <v>153376.38878087312</v>
      </c>
      <c r="G49" s="96">
        <f t="shared" si="3"/>
        <v>5438029.4241748322</v>
      </c>
    </row>
    <row r="50" spans="1:9">
      <c r="A50" s="95"/>
      <c r="B50" s="95" t="s">
        <v>92</v>
      </c>
      <c r="C50" s="96">
        <f t="shared" si="4"/>
        <v>5438029.4241748322</v>
      </c>
      <c r="D50" s="96">
        <f t="shared" si="7"/>
        <v>54380.294241748321</v>
      </c>
      <c r="E50" s="96">
        <f t="shared" si="6"/>
        <v>98996.09453912481</v>
      </c>
      <c r="F50" s="96">
        <f t="shared" si="5"/>
        <v>153376.38878087312</v>
      </c>
      <c r="G50" s="96">
        <f t="shared" si="3"/>
        <v>5339033.3296357077</v>
      </c>
    </row>
    <row r="51" spans="1:9">
      <c r="A51" s="95"/>
      <c r="B51" s="95" t="s">
        <v>93</v>
      </c>
      <c r="C51" s="96">
        <f t="shared" si="4"/>
        <v>5339033.3296357077</v>
      </c>
      <c r="D51" s="96">
        <f t="shared" si="7"/>
        <v>53390.333296357072</v>
      </c>
      <c r="E51" s="96">
        <f t="shared" si="6"/>
        <v>99986.055484516051</v>
      </c>
      <c r="F51" s="96">
        <f t="shared" si="5"/>
        <v>153376.38878087312</v>
      </c>
      <c r="G51" s="96">
        <f t="shared" si="3"/>
        <v>5239047.274151192</v>
      </c>
    </row>
    <row r="52" spans="1:9">
      <c r="A52" s="95"/>
      <c r="B52" s="95" t="s">
        <v>94</v>
      </c>
      <c r="C52" s="96">
        <f t="shared" si="4"/>
        <v>5239047.274151192</v>
      </c>
      <c r="D52" s="96">
        <f t="shared" si="7"/>
        <v>52390.47274151192</v>
      </c>
      <c r="E52" s="96">
        <f t="shared" si="6"/>
        <v>100985.91603936121</v>
      </c>
      <c r="F52" s="96">
        <f t="shared" si="5"/>
        <v>153376.38878087312</v>
      </c>
      <c r="G52" s="96">
        <f t="shared" si="3"/>
        <v>5138061.3581118304</v>
      </c>
    </row>
    <row r="53" spans="1:9">
      <c r="A53" s="95"/>
      <c r="B53" s="95" t="s">
        <v>95</v>
      </c>
      <c r="C53" s="96">
        <f t="shared" si="4"/>
        <v>5138061.3581118304</v>
      </c>
      <c r="D53" s="96">
        <f t="shared" si="7"/>
        <v>51380.613581118298</v>
      </c>
      <c r="E53" s="96">
        <f t="shared" si="6"/>
        <v>101995.77519975483</v>
      </c>
      <c r="F53" s="96">
        <f t="shared" si="5"/>
        <v>153376.38878087312</v>
      </c>
      <c r="G53" s="96">
        <f t="shared" si="3"/>
        <v>5036065.5829120753</v>
      </c>
    </row>
    <row r="54" spans="1:9">
      <c r="A54" s="95"/>
      <c r="B54" s="95" t="s">
        <v>96</v>
      </c>
      <c r="C54" s="96">
        <f t="shared" si="4"/>
        <v>5036065.5829120753</v>
      </c>
      <c r="D54" s="96">
        <f t="shared" si="7"/>
        <v>50360.655829120748</v>
      </c>
      <c r="E54" s="96">
        <f t="shared" si="6"/>
        <v>103015.73295175238</v>
      </c>
      <c r="F54" s="96">
        <f t="shared" si="5"/>
        <v>153376.38878087312</v>
      </c>
      <c r="G54" s="96">
        <f t="shared" si="3"/>
        <v>4933049.8499603234</v>
      </c>
    </row>
    <row r="55" spans="1:9">
      <c r="A55" s="95"/>
      <c r="B55" s="95" t="s">
        <v>97</v>
      </c>
      <c r="C55" s="96">
        <f t="shared" si="4"/>
        <v>4933049.8499603234</v>
      </c>
      <c r="D55" s="96">
        <f t="shared" si="7"/>
        <v>49330.498499603236</v>
      </c>
      <c r="E55" s="96">
        <f t="shared" si="6"/>
        <v>104045.89028126988</v>
      </c>
      <c r="F55" s="96">
        <f t="shared" si="5"/>
        <v>153376.38878087312</v>
      </c>
      <c r="G55" s="96">
        <f t="shared" si="3"/>
        <v>4829003.9596790532</v>
      </c>
    </row>
    <row r="56" spans="1:9">
      <c r="A56" s="95"/>
      <c r="B56" s="95" t="s">
        <v>98</v>
      </c>
      <c r="C56" s="96">
        <f t="shared" si="4"/>
        <v>4829003.9596790532</v>
      </c>
      <c r="D56" s="96">
        <f t="shared" si="7"/>
        <v>48290.039596790528</v>
      </c>
      <c r="E56" s="96">
        <f t="shared" si="6"/>
        <v>105086.34918408259</v>
      </c>
      <c r="F56" s="96">
        <f t="shared" si="5"/>
        <v>153376.38878087312</v>
      </c>
      <c r="G56" s="96">
        <f t="shared" si="3"/>
        <v>4723917.6104949703</v>
      </c>
    </row>
    <row r="57" spans="1:9">
      <c r="A57" s="95"/>
      <c r="B57" s="95" t="s">
        <v>99</v>
      </c>
      <c r="C57" s="96">
        <f t="shared" si="4"/>
        <v>4723917.6104949703</v>
      </c>
      <c r="D57" s="96">
        <f t="shared" si="7"/>
        <v>47239.1761049497</v>
      </c>
      <c r="E57" s="96">
        <f t="shared" si="6"/>
        <v>106137.21267592342</v>
      </c>
      <c r="F57" s="96">
        <f t="shared" si="5"/>
        <v>153376.38878087312</v>
      </c>
      <c r="G57" s="96">
        <f t="shared" si="3"/>
        <v>4617780.3978190469</v>
      </c>
      <c r="H57" s="1"/>
      <c r="I57" s="1"/>
    </row>
    <row r="58" spans="1:9">
      <c r="A58" s="95" t="s">
        <v>15</v>
      </c>
      <c r="B58" s="95" t="s">
        <v>100</v>
      </c>
      <c r="C58" s="96">
        <f t="shared" si="4"/>
        <v>4617780.3978190469</v>
      </c>
      <c r="D58" s="96">
        <f t="shared" si="7"/>
        <v>46177.803978190466</v>
      </c>
      <c r="E58" s="96">
        <f t="shared" si="6"/>
        <v>107198.58480268266</v>
      </c>
      <c r="F58" s="96">
        <f t="shared" si="5"/>
        <v>153376.38878087312</v>
      </c>
      <c r="G58" s="96">
        <f t="shared" si="3"/>
        <v>4510581.8130163644</v>
      </c>
    </row>
    <row r="59" spans="1:9">
      <c r="A59" s="95"/>
      <c r="B59" s="95" t="s">
        <v>101</v>
      </c>
      <c r="C59" s="96">
        <f t="shared" si="4"/>
        <v>4510581.8130163644</v>
      </c>
      <c r="D59" s="96">
        <f t="shared" si="7"/>
        <v>45105.818130163643</v>
      </c>
      <c r="E59" s="96">
        <f t="shared" si="6"/>
        <v>108270.57065070947</v>
      </c>
      <c r="F59" s="96">
        <f t="shared" si="5"/>
        <v>153376.38878087312</v>
      </c>
      <c r="G59" s="96">
        <f t="shared" si="3"/>
        <v>4402311.2423656546</v>
      </c>
    </row>
    <row r="60" spans="1:9">
      <c r="A60" s="95"/>
      <c r="B60" s="95" t="s">
        <v>102</v>
      </c>
      <c r="C60" s="96">
        <f t="shared" si="4"/>
        <v>4402311.2423656546</v>
      </c>
      <c r="D60" s="96">
        <f t="shared" si="7"/>
        <v>44023.112423656545</v>
      </c>
      <c r="E60" s="96">
        <f t="shared" si="6"/>
        <v>109353.27635721659</v>
      </c>
      <c r="F60" s="96">
        <f t="shared" si="5"/>
        <v>153376.38878087312</v>
      </c>
      <c r="G60" s="96">
        <f t="shared" si="3"/>
        <v>4292957.9660084378</v>
      </c>
    </row>
    <row r="61" spans="1:9">
      <c r="A61" s="95"/>
      <c r="B61" s="95" t="s">
        <v>103</v>
      </c>
      <c r="C61" s="96">
        <f t="shared" si="4"/>
        <v>4292957.9660084378</v>
      </c>
      <c r="D61" s="96">
        <f t="shared" si="7"/>
        <v>42929.579660084375</v>
      </c>
      <c r="E61" s="96">
        <f t="shared" si="6"/>
        <v>110446.80912078875</v>
      </c>
      <c r="F61" s="96">
        <f t="shared" si="5"/>
        <v>153376.38878087312</v>
      </c>
      <c r="G61" s="96">
        <f t="shared" si="3"/>
        <v>4182511.1568876491</v>
      </c>
    </row>
    <row r="62" spans="1:9">
      <c r="A62" s="95"/>
      <c r="B62" s="95" t="s">
        <v>104</v>
      </c>
      <c r="C62" s="96">
        <f t="shared" si="4"/>
        <v>4182511.1568876491</v>
      </c>
      <c r="D62" s="96">
        <f t="shared" si="7"/>
        <v>41825.111568876491</v>
      </c>
      <c r="E62" s="96">
        <f t="shared" si="6"/>
        <v>111551.27721199664</v>
      </c>
      <c r="F62" s="96">
        <f t="shared" si="5"/>
        <v>153376.38878087312</v>
      </c>
      <c r="G62" s="96">
        <f t="shared" si="3"/>
        <v>4070959.8796756524</v>
      </c>
    </row>
    <row r="63" spans="1:9">
      <c r="A63" s="95"/>
      <c r="B63" s="95" t="s">
        <v>105</v>
      </c>
      <c r="C63" s="96">
        <f t="shared" si="4"/>
        <v>4070959.8796756524</v>
      </c>
      <c r="D63" s="96">
        <f t="shared" si="7"/>
        <v>40709.598796756523</v>
      </c>
      <c r="E63" s="96">
        <f t="shared" si="6"/>
        <v>112666.78998411659</v>
      </c>
      <c r="F63" s="96">
        <f t="shared" si="5"/>
        <v>153376.38878087312</v>
      </c>
      <c r="G63" s="96">
        <f t="shared" si="3"/>
        <v>3958293.0896915356</v>
      </c>
    </row>
    <row r="64" spans="1:9">
      <c r="A64" s="95"/>
      <c r="B64" s="95" t="s">
        <v>106</v>
      </c>
      <c r="C64" s="96">
        <f t="shared" si="4"/>
        <v>3958293.0896915356</v>
      </c>
      <c r="D64" s="96">
        <f t="shared" si="7"/>
        <v>39582.930896915357</v>
      </c>
      <c r="E64" s="96">
        <f t="shared" si="6"/>
        <v>113793.45788395777</v>
      </c>
      <c r="F64" s="96">
        <f t="shared" si="5"/>
        <v>153376.38878087312</v>
      </c>
      <c r="G64" s="96">
        <f t="shared" si="3"/>
        <v>3844499.6318075778</v>
      </c>
    </row>
    <row r="65" spans="1:9">
      <c r="A65" s="95"/>
      <c r="B65" s="95" t="s">
        <v>107</v>
      </c>
      <c r="C65" s="96">
        <f t="shared" si="4"/>
        <v>3844499.6318075778</v>
      </c>
      <c r="D65" s="96">
        <f t="shared" si="7"/>
        <v>38444.996318075777</v>
      </c>
      <c r="E65" s="96">
        <f t="shared" si="6"/>
        <v>114931.39246279735</v>
      </c>
      <c r="F65" s="96">
        <f t="shared" si="5"/>
        <v>153376.38878087312</v>
      </c>
      <c r="G65" s="96">
        <f t="shared" si="3"/>
        <v>3729568.2393447803</v>
      </c>
    </row>
    <row r="66" spans="1:9">
      <c r="A66" s="95"/>
      <c r="B66" s="95" t="s">
        <v>108</v>
      </c>
      <c r="C66" s="96">
        <f t="shared" si="4"/>
        <v>3729568.2393447803</v>
      </c>
      <c r="D66" s="96">
        <f t="shared" si="7"/>
        <v>37295.682393447802</v>
      </c>
      <c r="E66" s="96">
        <f t="shared" si="6"/>
        <v>116080.70638742532</v>
      </c>
      <c r="F66" s="96">
        <f t="shared" si="5"/>
        <v>153376.38878087312</v>
      </c>
      <c r="G66" s="96">
        <f t="shared" si="3"/>
        <v>3613487.532957355</v>
      </c>
    </row>
    <row r="67" spans="1:9">
      <c r="A67" s="95"/>
      <c r="B67" s="95" t="s">
        <v>109</v>
      </c>
      <c r="C67" s="96">
        <f t="shared" si="4"/>
        <v>3613487.532957355</v>
      </c>
      <c r="D67" s="96">
        <f t="shared" si="7"/>
        <v>36134.875329573544</v>
      </c>
      <c r="E67" s="96">
        <f t="shared" si="6"/>
        <v>117241.51345129957</v>
      </c>
      <c r="F67" s="96">
        <f t="shared" si="5"/>
        <v>153376.38878087312</v>
      </c>
      <c r="G67" s="96">
        <f t="shared" si="3"/>
        <v>3496246.0195060554</v>
      </c>
    </row>
    <row r="68" spans="1:9">
      <c r="A68" s="95"/>
      <c r="B68" s="95" t="s">
        <v>110</v>
      </c>
      <c r="C68" s="96">
        <f t="shared" si="4"/>
        <v>3496246.0195060554</v>
      </c>
      <c r="D68" s="96">
        <f t="shared" si="7"/>
        <v>34962.46019506055</v>
      </c>
      <c r="E68" s="96">
        <f t="shared" si="6"/>
        <v>118413.92858581257</v>
      </c>
      <c r="F68" s="96">
        <f t="shared" si="5"/>
        <v>153376.38878087312</v>
      </c>
      <c r="G68" s="96">
        <f t="shared" si="3"/>
        <v>3377832.0909202429</v>
      </c>
    </row>
    <row r="69" spans="1:9">
      <c r="A69" s="95"/>
      <c r="B69" s="95" t="s">
        <v>111</v>
      </c>
      <c r="C69" s="96">
        <f t="shared" si="4"/>
        <v>3377832.0909202429</v>
      </c>
      <c r="D69" s="96">
        <f t="shared" si="7"/>
        <v>33778.320909202426</v>
      </c>
      <c r="E69" s="96">
        <f t="shared" si="6"/>
        <v>119598.0678716707</v>
      </c>
      <c r="F69" s="96">
        <f t="shared" si="5"/>
        <v>153376.38878087312</v>
      </c>
      <c r="G69" s="96">
        <f t="shared" si="3"/>
        <v>3258234.0230485722</v>
      </c>
      <c r="H69" s="1"/>
      <c r="I69" s="1"/>
    </row>
    <row r="70" spans="1:9">
      <c r="A70" s="95" t="s">
        <v>16</v>
      </c>
      <c r="B70" s="95" t="s">
        <v>112</v>
      </c>
      <c r="C70" s="96">
        <f t="shared" si="4"/>
        <v>3258234.0230485722</v>
      </c>
      <c r="D70" s="96">
        <f t="shared" si="7"/>
        <v>32582.340230485719</v>
      </c>
      <c r="E70" s="96">
        <f t="shared" si="6"/>
        <v>120794.04855038741</v>
      </c>
      <c r="F70" s="96">
        <f t="shared" si="5"/>
        <v>153376.38878087312</v>
      </c>
      <c r="G70" s="96">
        <f t="shared" si="3"/>
        <v>3137439.9744981849</v>
      </c>
    </row>
    <row r="71" spans="1:9">
      <c r="A71" s="95"/>
      <c r="B71" s="95" t="s">
        <v>113</v>
      </c>
      <c r="C71" s="96">
        <f t="shared" si="4"/>
        <v>3137439.9744981849</v>
      </c>
      <c r="D71" s="96">
        <f t="shared" si="7"/>
        <v>31374.399744981845</v>
      </c>
      <c r="E71" s="96">
        <f t="shared" si="6"/>
        <v>122001.98903589128</v>
      </c>
      <c r="F71" s="96">
        <f t="shared" si="5"/>
        <v>153376.38878087312</v>
      </c>
      <c r="G71" s="96">
        <f t="shared" si="3"/>
        <v>3015437.9854622935</v>
      </c>
    </row>
    <row r="72" spans="1:9">
      <c r="A72" s="95"/>
      <c r="B72" s="95" t="s">
        <v>114</v>
      </c>
      <c r="C72" s="96">
        <f t="shared" si="4"/>
        <v>3015437.9854622935</v>
      </c>
      <c r="D72" s="96">
        <f t="shared" si="7"/>
        <v>30154.379854622934</v>
      </c>
      <c r="E72" s="96">
        <f t="shared" si="6"/>
        <v>123222.00892625019</v>
      </c>
      <c r="F72" s="96">
        <f t="shared" si="5"/>
        <v>153376.38878087312</v>
      </c>
      <c r="G72" s="96">
        <f t="shared" si="3"/>
        <v>2892215.9765360435</v>
      </c>
    </row>
    <row r="73" spans="1:9">
      <c r="A73" s="95"/>
      <c r="B73" s="95" t="s">
        <v>115</v>
      </c>
      <c r="C73" s="96">
        <f t="shared" si="4"/>
        <v>2892215.9765360435</v>
      </c>
      <c r="D73" s="96">
        <f t="shared" si="7"/>
        <v>28922.159765360437</v>
      </c>
      <c r="E73" s="96">
        <f t="shared" si="6"/>
        <v>124454.22901551268</v>
      </c>
      <c r="F73" s="96">
        <f t="shared" si="5"/>
        <v>153376.38878087312</v>
      </c>
      <c r="G73" s="96">
        <f t="shared" si="3"/>
        <v>2767761.7475205306</v>
      </c>
    </row>
    <row r="74" spans="1:9">
      <c r="A74" s="95"/>
      <c r="B74" s="95" t="s">
        <v>116</v>
      </c>
      <c r="C74" s="96">
        <f t="shared" si="4"/>
        <v>2767761.7475205306</v>
      </c>
      <c r="D74" s="96">
        <f t="shared" ref="D74:D93" si="8">C74*$D$5/12</f>
        <v>27677.617475205305</v>
      </c>
      <c r="E74" s="96">
        <f t="shared" si="6"/>
        <v>125698.77130566782</v>
      </c>
      <c r="F74" s="96">
        <f t="shared" si="5"/>
        <v>153376.38878087312</v>
      </c>
      <c r="G74" s="96">
        <f t="shared" si="3"/>
        <v>2642062.9762148629</v>
      </c>
    </row>
    <row r="75" spans="1:9">
      <c r="A75" s="95"/>
      <c r="B75" s="95" t="s">
        <v>117</v>
      </c>
      <c r="C75" s="96">
        <f t="shared" si="4"/>
        <v>2642062.9762148629</v>
      </c>
      <c r="D75" s="96">
        <f t="shared" si="8"/>
        <v>26420.62976214863</v>
      </c>
      <c r="E75" s="96">
        <f t="shared" si="6"/>
        <v>126955.75901872449</v>
      </c>
      <c r="F75" s="96">
        <f t="shared" ref="F75:F93" si="9">$D$8</f>
        <v>153376.38878087312</v>
      </c>
      <c r="G75" s="96">
        <f t="shared" ref="G75:G93" si="10">C75-E75</f>
        <v>2515107.2171961386</v>
      </c>
    </row>
    <row r="76" spans="1:9">
      <c r="A76" s="95"/>
      <c r="B76" s="95" t="s">
        <v>118</v>
      </c>
      <c r="C76" s="96">
        <f t="shared" ref="C76:C93" si="11">G75</f>
        <v>2515107.2171961386</v>
      </c>
      <c r="D76" s="96">
        <f t="shared" si="8"/>
        <v>25151.072171961383</v>
      </c>
      <c r="E76" s="96">
        <f t="shared" si="6"/>
        <v>128225.31660891174</v>
      </c>
      <c r="F76" s="96">
        <f t="shared" si="9"/>
        <v>153376.38878087312</v>
      </c>
      <c r="G76" s="96">
        <f t="shared" si="10"/>
        <v>2386881.9005872267</v>
      </c>
    </row>
    <row r="77" spans="1:9">
      <c r="A77" s="95"/>
      <c r="B77" s="95" t="s">
        <v>119</v>
      </c>
      <c r="C77" s="96">
        <f t="shared" si="11"/>
        <v>2386881.9005872267</v>
      </c>
      <c r="D77" s="96">
        <f t="shared" si="8"/>
        <v>23868.819005872268</v>
      </c>
      <c r="E77" s="96">
        <f t="shared" si="6"/>
        <v>129507.56977500085</v>
      </c>
      <c r="F77" s="96">
        <f t="shared" si="9"/>
        <v>153376.38878087312</v>
      </c>
      <c r="G77" s="96">
        <f t="shared" si="10"/>
        <v>2257374.330812226</v>
      </c>
    </row>
    <row r="78" spans="1:9">
      <c r="A78" s="95"/>
      <c r="B78" s="95" t="s">
        <v>120</v>
      </c>
      <c r="C78" s="96">
        <f t="shared" si="11"/>
        <v>2257374.330812226</v>
      </c>
      <c r="D78" s="96">
        <f t="shared" si="8"/>
        <v>22573.743308122259</v>
      </c>
      <c r="E78" s="96">
        <f t="shared" si="6"/>
        <v>130802.64547275087</v>
      </c>
      <c r="F78" s="96">
        <f t="shared" si="9"/>
        <v>153376.38878087312</v>
      </c>
      <c r="G78" s="96">
        <f t="shared" si="10"/>
        <v>2126571.6853394751</v>
      </c>
    </row>
    <row r="79" spans="1:9">
      <c r="A79" s="95"/>
      <c r="B79" s="95" t="s">
        <v>121</v>
      </c>
      <c r="C79" s="96">
        <f t="shared" si="11"/>
        <v>2126571.6853394751</v>
      </c>
      <c r="D79" s="96">
        <f t="shared" si="8"/>
        <v>21265.716853394752</v>
      </c>
      <c r="E79" s="96">
        <f t="shared" si="6"/>
        <v>132110.67192747837</v>
      </c>
      <c r="F79" s="96">
        <f t="shared" si="9"/>
        <v>153376.38878087312</v>
      </c>
      <c r="G79" s="96">
        <f t="shared" si="10"/>
        <v>1994461.0134119967</v>
      </c>
    </row>
    <row r="80" spans="1:9">
      <c r="A80" s="95"/>
      <c r="B80" s="95" t="s">
        <v>122</v>
      </c>
      <c r="C80" s="96">
        <f t="shared" si="11"/>
        <v>1994461.0134119967</v>
      </c>
      <c r="D80" s="96">
        <f t="shared" si="8"/>
        <v>19944.610134119965</v>
      </c>
      <c r="E80" s="96">
        <f t="shared" si="6"/>
        <v>133431.77864675317</v>
      </c>
      <c r="F80" s="96">
        <f t="shared" si="9"/>
        <v>153376.38878087312</v>
      </c>
      <c r="G80" s="96">
        <f t="shared" si="10"/>
        <v>1861029.2347652435</v>
      </c>
    </row>
    <row r="81" spans="1:9">
      <c r="A81" s="95"/>
      <c r="B81" s="95" t="s">
        <v>123</v>
      </c>
      <c r="C81" s="96">
        <f t="shared" si="11"/>
        <v>1861029.2347652435</v>
      </c>
      <c r="D81" s="96">
        <f t="shared" si="8"/>
        <v>18610.292347652434</v>
      </c>
      <c r="E81" s="96">
        <f t="shared" ref="E81:E93" si="12">F81-D81</f>
        <v>134766.09643322069</v>
      </c>
      <c r="F81" s="96">
        <f t="shared" si="9"/>
        <v>153376.38878087312</v>
      </c>
      <c r="G81" s="96">
        <f t="shared" si="10"/>
        <v>1726263.1383320228</v>
      </c>
      <c r="H81" s="1"/>
      <c r="I81" s="1"/>
    </row>
    <row r="82" spans="1:9">
      <c r="A82" s="95" t="s">
        <v>282</v>
      </c>
      <c r="B82" s="95" t="s">
        <v>217</v>
      </c>
      <c r="C82" s="96">
        <f t="shared" si="11"/>
        <v>1726263.1383320228</v>
      </c>
      <c r="D82" s="96">
        <f t="shared" si="8"/>
        <v>17262.631383320226</v>
      </c>
      <c r="E82" s="96">
        <f t="shared" si="12"/>
        <v>136113.75739755289</v>
      </c>
      <c r="F82" s="96">
        <f t="shared" si="9"/>
        <v>153376.38878087312</v>
      </c>
      <c r="G82" s="96">
        <f t="shared" si="10"/>
        <v>1590149.3809344699</v>
      </c>
    </row>
    <row r="83" spans="1:9">
      <c r="A83" s="95"/>
      <c r="B83" s="95" t="s">
        <v>218</v>
      </c>
      <c r="C83" s="96">
        <f t="shared" si="11"/>
        <v>1590149.3809344699</v>
      </c>
      <c r="D83" s="96">
        <f t="shared" si="8"/>
        <v>15901.493809344698</v>
      </c>
      <c r="E83" s="96">
        <f t="shared" si="12"/>
        <v>137474.89497152844</v>
      </c>
      <c r="F83" s="96">
        <f t="shared" si="9"/>
        <v>153376.38878087312</v>
      </c>
      <c r="G83" s="96">
        <f t="shared" si="10"/>
        <v>1452674.4859629413</v>
      </c>
    </row>
    <row r="84" spans="1:9">
      <c r="A84" s="95"/>
      <c r="B84" s="95" t="s">
        <v>219</v>
      </c>
      <c r="C84" s="96">
        <f t="shared" si="11"/>
        <v>1452674.4859629413</v>
      </c>
      <c r="D84" s="96">
        <f t="shared" si="8"/>
        <v>14526.744859629413</v>
      </c>
      <c r="E84" s="96">
        <f t="shared" si="12"/>
        <v>138849.64392124373</v>
      </c>
      <c r="F84" s="96">
        <f t="shared" si="9"/>
        <v>153376.38878087312</v>
      </c>
      <c r="G84" s="96">
        <f t="shared" si="10"/>
        <v>1313824.8420416976</v>
      </c>
    </row>
    <row r="85" spans="1:9">
      <c r="A85" s="95"/>
      <c r="B85" s="95" t="s">
        <v>220</v>
      </c>
      <c r="C85" s="96">
        <f t="shared" si="11"/>
        <v>1313824.8420416976</v>
      </c>
      <c r="D85" s="96">
        <f t="shared" si="8"/>
        <v>13138.248420416976</v>
      </c>
      <c r="E85" s="96">
        <f t="shared" si="12"/>
        <v>140238.14036045613</v>
      </c>
      <c r="F85" s="96">
        <f t="shared" si="9"/>
        <v>153376.38878087312</v>
      </c>
      <c r="G85" s="96">
        <f t="shared" si="10"/>
        <v>1173586.7016812414</v>
      </c>
    </row>
    <row r="86" spans="1:9">
      <c r="A86" s="95"/>
      <c r="B86" s="95" t="s">
        <v>221</v>
      </c>
      <c r="C86" s="96">
        <f t="shared" si="11"/>
        <v>1173586.7016812414</v>
      </c>
      <c r="D86" s="96">
        <f t="shared" si="8"/>
        <v>11735.867016812414</v>
      </c>
      <c r="E86" s="96">
        <f t="shared" si="12"/>
        <v>141640.52176406072</v>
      </c>
      <c r="F86" s="96">
        <f t="shared" si="9"/>
        <v>153376.38878087312</v>
      </c>
      <c r="G86" s="96">
        <f t="shared" si="10"/>
        <v>1031946.1799171807</v>
      </c>
    </row>
    <row r="87" spans="1:9">
      <c r="A87" s="95"/>
      <c r="B87" s="95" t="s">
        <v>222</v>
      </c>
      <c r="C87" s="96">
        <f t="shared" si="11"/>
        <v>1031946.1799171807</v>
      </c>
      <c r="D87" s="96">
        <f t="shared" si="8"/>
        <v>10319.461799171806</v>
      </c>
      <c r="E87" s="96">
        <f t="shared" si="12"/>
        <v>143056.92698170131</v>
      </c>
      <c r="F87" s="96">
        <f t="shared" si="9"/>
        <v>153376.38878087312</v>
      </c>
      <c r="G87" s="96">
        <f t="shared" si="10"/>
        <v>888889.2529354794</v>
      </c>
    </row>
    <row r="88" spans="1:9">
      <c r="A88" s="95"/>
      <c r="B88" s="95" t="s">
        <v>223</v>
      </c>
      <c r="C88" s="96">
        <f t="shared" si="11"/>
        <v>888889.2529354794</v>
      </c>
      <c r="D88" s="96">
        <f t="shared" si="8"/>
        <v>8888.8925293547927</v>
      </c>
      <c r="E88" s="96">
        <f t="shared" si="12"/>
        <v>144487.49625151834</v>
      </c>
      <c r="F88" s="96">
        <f t="shared" si="9"/>
        <v>153376.38878087312</v>
      </c>
      <c r="G88" s="96">
        <f t="shared" si="10"/>
        <v>744401.75668396102</v>
      </c>
    </row>
    <row r="89" spans="1:9">
      <c r="A89" s="95"/>
      <c r="B89" s="95" t="s">
        <v>224</v>
      </c>
      <c r="C89" s="96">
        <f t="shared" si="11"/>
        <v>744401.75668396102</v>
      </c>
      <c r="D89" s="96">
        <f t="shared" si="8"/>
        <v>7444.0175668396105</v>
      </c>
      <c r="E89" s="96">
        <f t="shared" si="12"/>
        <v>145932.37121403351</v>
      </c>
      <c r="F89" s="96">
        <f t="shared" si="9"/>
        <v>153376.38878087312</v>
      </c>
      <c r="G89" s="96">
        <f t="shared" si="10"/>
        <v>598469.38546992745</v>
      </c>
    </row>
    <row r="90" spans="1:9">
      <c r="A90" s="95"/>
      <c r="B90" s="95" t="s">
        <v>225</v>
      </c>
      <c r="C90" s="96">
        <f t="shared" si="11"/>
        <v>598469.38546992745</v>
      </c>
      <c r="D90" s="96">
        <f t="shared" si="8"/>
        <v>5984.6938546992742</v>
      </c>
      <c r="E90" s="96">
        <f t="shared" si="12"/>
        <v>147391.69492617386</v>
      </c>
      <c r="F90" s="96">
        <f t="shared" si="9"/>
        <v>153376.38878087312</v>
      </c>
      <c r="G90" s="96">
        <f t="shared" si="10"/>
        <v>451077.69054375356</v>
      </c>
    </row>
    <row r="91" spans="1:9">
      <c r="A91" s="95"/>
      <c r="B91" s="95" t="s">
        <v>226</v>
      </c>
      <c r="C91" s="96">
        <f t="shared" si="11"/>
        <v>451077.69054375356</v>
      </c>
      <c r="D91" s="96">
        <f t="shared" si="8"/>
        <v>4510.7769054375358</v>
      </c>
      <c r="E91" s="96">
        <f t="shared" si="12"/>
        <v>148865.6118754356</v>
      </c>
      <c r="F91" s="96">
        <f t="shared" si="9"/>
        <v>153376.38878087312</v>
      </c>
      <c r="G91" s="96">
        <f t="shared" si="10"/>
        <v>302212.07866831799</v>
      </c>
    </row>
    <row r="92" spans="1:9">
      <c r="A92" s="95"/>
      <c r="B92" s="95" t="s">
        <v>227</v>
      </c>
      <c r="C92" s="96">
        <f t="shared" si="11"/>
        <v>302212.07866831799</v>
      </c>
      <c r="D92" s="96">
        <f t="shared" si="8"/>
        <v>3022.1207866831796</v>
      </c>
      <c r="E92" s="96">
        <f t="shared" si="12"/>
        <v>150354.26799418996</v>
      </c>
      <c r="F92" s="96">
        <f t="shared" si="9"/>
        <v>153376.38878087312</v>
      </c>
      <c r="G92" s="96">
        <f t="shared" si="10"/>
        <v>151857.81067412804</v>
      </c>
    </row>
    <row r="93" spans="1:9">
      <c r="A93" s="95"/>
      <c r="B93" s="95" t="s">
        <v>228</v>
      </c>
      <c r="C93" s="96">
        <f t="shared" si="11"/>
        <v>151857.81067412804</v>
      </c>
      <c r="D93" s="96">
        <f t="shared" si="8"/>
        <v>1518.5781067412802</v>
      </c>
      <c r="E93" s="96">
        <f t="shared" si="12"/>
        <v>151857.81067413185</v>
      </c>
      <c r="F93" s="96">
        <f t="shared" si="9"/>
        <v>153376.38878087312</v>
      </c>
      <c r="G93" s="96">
        <f t="shared" si="10"/>
        <v>-3.8126017898321152E-9</v>
      </c>
    </row>
    <row r="94" spans="1:9">
      <c r="A94" s="94"/>
      <c r="B94" s="94"/>
      <c r="C94" s="94"/>
      <c r="D94" s="103">
        <f>SUM(D10:D93)</f>
        <v>4180645.9499081024</v>
      </c>
      <c r="E94" s="103">
        <f>SUM(E10:E93)</f>
        <v>8279481.2499999981</v>
      </c>
      <c r="F94" s="94"/>
      <c r="G94" s="94"/>
    </row>
    <row r="95" spans="1:9" ht="39.950000000000003" customHeight="1">
      <c r="A95" s="454" t="s">
        <v>429</v>
      </c>
      <c r="B95" s="454"/>
      <c r="C95" s="454"/>
      <c r="D95" s="454"/>
      <c r="E95" s="454"/>
      <c r="F95" s="454"/>
      <c r="G95" s="454"/>
      <c r="H95" s="454"/>
    </row>
    <row r="96" spans="1:9">
      <c r="A96" t="s">
        <v>555</v>
      </c>
    </row>
    <row r="97" spans="1:2">
      <c r="A97">
        <v>1</v>
      </c>
      <c r="B97" t="s">
        <v>556</v>
      </c>
    </row>
    <row r="98" spans="1:2">
      <c r="A98">
        <v>2</v>
      </c>
      <c r="B98" t="s">
        <v>557</v>
      </c>
    </row>
  </sheetData>
  <mergeCells count="2">
    <mergeCell ref="A2:G2"/>
    <mergeCell ref="A95:H95"/>
  </mergeCells>
  <pageMargins left="0.92" right="0.7" top="0.28000000000000003" bottom="0.32" header="0.3" footer="0.3"/>
  <pageSetup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3"/>
  <sheetViews>
    <sheetView view="pageBreakPreview" zoomScale="80" zoomScaleNormal="100" zoomScaleSheetLayoutView="80" workbookViewId="0">
      <selection sqref="A1:L59"/>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38" t="s">
        <v>580</v>
      </c>
      <c r="D2" s="438"/>
      <c r="E2" s="438"/>
      <c r="F2" s="438"/>
      <c r="G2" s="438"/>
      <c r="H2" s="438"/>
      <c r="I2" s="438"/>
      <c r="J2" s="438"/>
      <c r="K2" s="438"/>
      <c r="L2" s="200"/>
    </row>
    <row r="4" spans="3:22">
      <c r="C4" s="82" t="s">
        <v>0</v>
      </c>
      <c r="D4" s="82"/>
      <c r="E4" s="83" t="s">
        <v>2</v>
      </c>
      <c r="F4" s="83" t="s">
        <v>3</v>
      </c>
      <c r="G4" s="83" t="s">
        <v>4</v>
      </c>
      <c r="H4" s="83" t="s">
        <v>5</v>
      </c>
      <c r="I4" s="83" t="s">
        <v>6</v>
      </c>
      <c r="J4" s="83" t="s">
        <v>171</v>
      </c>
      <c r="K4" s="83" t="s">
        <v>170</v>
      </c>
      <c r="L4" s="94"/>
      <c r="M4" s="94"/>
      <c r="N4" s="237"/>
      <c r="O4" s="237"/>
      <c r="P4" s="237"/>
      <c r="Q4" s="237"/>
      <c r="R4" s="237"/>
      <c r="S4" s="237"/>
      <c r="T4" s="237"/>
      <c r="U4" s="237"/>
      <c r="V4" s="237"/>
    </row>
    <row r="5" spans="3:22">
      <c r="C5" s="95" t="s">
        <v>375</v>
      </c>
      <c r="D5" s="95"/>
      <c r="E5" s="95"/>
      <c r="F5" s="95"/>
      <c r="G5" s="95"/>
      <c r="H5" s="95"/>
      <c r="I5" s="95"/>
      <c r="J5" s="95"/>
      <c r="K5" s="95"/>
      <c r="L5" s="94"/>
      <c r="M5" s="94"/>
      <c r="N5" s="456" t="s">
        <v>551</v>
      </c>
      <c r="O5" s="456"/>
      <c r="P5" s="456"/>
      <c r="Q5" s="456"/>
      <c r="R5" s="456"/>
      <c r="S5" s="237"/>
      <c r="T5" s="237"/>
      <c r="U5" s="456" t="s">
        <v>552</v>
      </c>
      <c r="V5" s="456"/>
    </row>
    <row r="6" spans="3:22">
      <c r="C6" s="95" t="s">
        <v>376</v>
      </c>
      <c r="D6" s="180"/>
      <c r="E6" s="95"/>
      <c r="F6" s="96">
        <f t="shared" ref="F6:K9" si="0">E15</f>
        <v>2115027.2000000002</v>
      </c>
      <c r="G6" s="96">
        <f t="shared" si="0"/>
        <v>2391607.6800000002</v>
      </c>
      <c r="H6" s="96">
        <f t="shared" si="0"/>
        <v>2690558.6400000006</v>
      </c>
      <c r="I6" s="96">
        <f t="shared" si="0"/>
        <v>3013425.6768000014</v>
      </c>
      <c r="J6" s="96">
        <f t="shared" si="0"/>
        <v>3361853.0206800024</v>
      </c>
      <c r="K6" s="96">
        <f t="shared" si="0"/>
        <v>3737589.534756002</v>
      </c>
      <c r="L6" s="94"/>
      <c r="M6" s="94"/>
      <c r="N6" s="455" t="s">
        <v>553</v>
      </c>
      <c r="O6" s="455"/>
      <c r="P6" s="455"/>
      <c r="Q6" s="455"/>
      <c r="R6" s="455"/>
      <c r="S6" s="237"/>
      <c r="T6" s="237"/>
      <c r="U6" s="455" t="s">
        <v>553</v>
      </c>
      <c r="V6" s="455"/>
    </row>
    <row r="7" spans="3:22">
      <c r="C7" s="95" t="s">
        <v>467</v>
      </c>
      <c r="D7" s="180"/>
      <c r="E7" s="95"/>
      <c r="F7" s="96">
        <f t="shared" si="0"/>
        <v>732512.08799999999</v>
      </c>
      <c r="G7" s="96">
        <f t="shared" si="0"/>
        <v>846051.46164000023</v>
      </c>
      <c r="H7" s="96">
        <f t="shared" si="0"/>
        <v>969113.49242400005</v>
      </c>
      <c r="I7" s="96">
        <f t="shared" si="0"/>
        <v>1102366.5976323006</v>
      </c>
      <c r="J7" s="96">
        <f t="shared" si="0"/>
        <v>1246522.2296303704</v>
      </c>
      <c r="K7" s="96">
        <f t="shared" si="0"/>
        <v>1402337.5083341673</v>
      </c>
      <c r="L7" s="94"/>
      <c r="M7" s="94"/>
      <c r="N7" s="238" t="s">
        <v>0</v>
      </c>
      <c r="O7" s="238" t="s">
        <v>165</v>
      </c>
      <c r="P7" s="238" t="s">
        <v>166</v>
      </c>
      <c r="Q7" s="238" t="s">
        <v>319</v>
      </c>
      <c r="R7" s="238" t="s">
        <v>320</v>
      </c>
      <c r="S7" s="237"/>
      <c r="T7" s="237"/>
      <c r="U7" s="328" t="s">
        <v>0</v>
      </c>
      <c r="V7" s="328" t="s">
        <v>508</v>
      </c>
    </row>
    <row r="8" spans="3:22">
      <c r="C8" s="95" t="s">
        <v>570</v>
      </c>
      <c r="D8" s="180"/>
      <c r="E8" s="95"/>
      <c r="F8" s="96">
        <f t="shared" si="0"/>
        <v>40353.19200000001</v>
      </c>
      <c r="G8" s="96">
        <f t="shared" si="0"/>
        <v>63556.277400000021</v>
      </c>
      <c r="H8" s="96">
        <f t="shared" si="0"/>
        <v>88978.788360000006</v>
      </c>
      <c r="I8" s="96">
        <f t="shared" si="0"/>
        <v>116784.65972250002</v>
      </c>
      <c r="J8" s="96">
        <f t="shared" si="0"/>
        <v>147148.67125035005</v>
      </c>
      <c r="K8" s="96">
        <f t="shared" si="0"/>
        <v>180257.12228167884</v>
      </c>
      <c r="L8" s="94"/>
      <c r="M8" s="94"/>
      <c r="N8" s="239" t="s">
        <v>377</v>
      </c>
      <c r="O8" s="239">
        <f>'13.Facility 2 Grain Processing'!C152</f>
        <v>5000</v>
      </c>
      <c r="P8" s="239">
        <f>'13.Facility 2 Grain Processing'!C153</f>
        <v>5800</v>
      </c>
      <c r="Q8" s="239">
        <f>'13.Facility 2 Grain Processing'!C154</f>
        <v>5800</v>
      </c>
      <c r="R8" s="239">
        <f>'13.Facility 2 Grain Processing'!C155</f>
        <v>6200</v>
      </c>
      <c r="S8" s="237"/>
      <c r="T8" s="237"/>
      <c r="U8" s="239" t="s">
        <v>350</v>
      </c>
      <c r="V8" s="239">
        <f>'17.Facility 6 Horti Processing '!C132</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39" t="str">
        <f>'13.Facility 2 Grain Processing'!A156</f>
        <v>Oil (Liters)</v>
      </c>
      <c r="O9" s="239">
        <f>('13.Facility 2 Grain Processing'!B156*'13.Facility 2 Grain Processing'!C156/1000)*100</f>
        <v>20</v>
      </c>
      <c r="P9" s="239">
        <f>O9</f>
        <v>20</v>
      </c>
      <c r="Q9" s="239">
        <f t="shared" ref="Q9:R9" si="1">P9</f>
        <v>20</v>
      </c>
      <c r="R9" s="239">
        <f t="shared" si="1"/>
        <v>20</v>
      </c>
      <c r="S9" s="237"/>
      <c r="T9" s="237"/>
      <c r="U9" s="239" t="str">
        <f>'17.Facility 6 Horti Processing '!A133</f>
        <v>Other Consumbales</v>
      </c>
      <c r="V9" s="240">
        <f>'17.Facility 6 Horti Processing '!C133</f>
        <v>2000</v>
      </c>
    </row>
    <row r="10" spans="3:22">
      <c r="C10" s="95"/>
      <c r="D10" s="95"/>
      <c r="E10" s="95"/>
      <c r="F10" s="96"/>
      <c r="G10" s="96"/>
      <c r="H10" s="96"/>
      <c r="I10" s="96"/>
      <c r="J10" s="96"/>
      <c r="K10" s="96"/>
      <c r="L10" s="94"/>
      <c r="M10" s="94"/>
      <c r="N10" s="239" t="str">
        <f>'13.Facility 2 Grain Processing'!A157</f>
        <v xml:space="preserve">Daily Labour </v>
      </c>
      <c r="O10" s="241">
        <f>('13.Facility 2 Grain Processing'!B157*'13.Facility 2 Grain Processing'!C157)/('13.Facility 2 Grain Processing'!B5*'13.Facility 2 Grain Processing'!B6)</f>
        <v>56.25</v>
      </c>
      <c r="P10" s="241">
        <f>O10</f>
        <v>56.25</v>
      </c>
      <c r="Q10" s="241">
        <f t="shared" ref="Q10:R10" si="2">P10</f>
        <v>56.25</v>
      </c>
      <c r="R10" s="241">
        <f t="shared" si="2"/>
        <v>56.25</v>
      </c>
      <c r="S10" s="237"/>
      <c r="T10" s="237"/>
      <c r="U10" s="239" t="str">
        <f>'17.Facility 6 Horti Processing '!A134</f>
        <v xml:space="preserve">Daily Labour </v>
      </c>
      <c r="V10" s="240">
        <f>'17.Facility 6 Horti Processing '!B134*'17.Facility 6 Horti Processing '!C134/('17.Facility 6 Horti Processing '!B5*'17.Facility 6 Horti Processing '!B6)</f>
        <v>187.5</v>
      </c>
    </row>
    <row r="11" spans="3:22">
      <c r="C11" s="95"/>
      <c r="D11" s="95"/>
      <c r="E11" s="95"/>
      <c r="F11" s="96"/>
      <c r="G11" s="96"/>
      <c r="H11" s="96"/>
      <c r="I11" s="96"/>
      <c r="J11" s="96"/>
      <c r="K11" s="96"/>
      <c r="L11" s="94"/>
      <c r="M11" s="94"/>
      <c r="N11" s="239" t="str">
        <f>'13.Facility 2 Grain Processing'!A158</f>
        <v>Electricity Charges</v>
      </c>
      <c r="O11" s="241">
        <f>('13.Facility 2 Grain Processing'!B158*'13.Facility 2 Grain Processing'!C158)/('13.Facility 2 Grain Processing'!B5*'13.Facility 2 Grain Processing'!B6)</f>
        <v>0</v>
      </c>
      <c r="P11" s="241">
        <f>O11</f>
        <v>0</v>
      </c>
      <c r="Q11" s="241">
        <f t="shared" ref="Q11" si="3">P11</f>
        <v>0</v>
      </c>
      <c r="R11" s="241">
        <f t="shared" ref="R11" si="4">Q11</f>
        <v>0</v>
      </c>
      <c r="S11" s="237"/>
      <c r="T11" s="237"/>
      <c r="U11" s="239" t="str">
        <f>'17.Facility 6 Horti Processing '!A135</f>
        <v>Electricity Charges</v>
      </c>
      <c r="V11" s="239">
        <f>'17.Facility 6 Horti Processing '!B135*'17.Facility 6 Horti Processing '!C135/('17.Facility 6 Horti Processing '!B5*'17.Facility 6 Horti Processing '!B6)</f>
        <v>0</v>
      </c>
    </row>
    <row r="12" spans="3:22">
      <c r="C12" s="95" t="s">
        <v>1</v>
      </c>
      <c r="D12" s="95"/>
      <c r="E12" s="96"/>
      <c r="F12" s="96">
        <f t="shared" ref="F12:K12" si="5">SUM(F6:F11)</f>
        <v>2887892.48</v>
      </c>
      <c r="G12" s="96">
        <f t="shared" si="5"/>
        <v>3301215.4190400005</v>
      </c>
      <c r="H12" s="96">
        <f t="shared" si="5"/>
        <v>3748650.9207840008</v>
      </c>
      <c r="I12" s="96">
        <f t="shared" si="5"/>
        <v>4232576.934154802</v>
      </c>
      <c r="J12" s="96">
        <f t="shared" si="5"/>
        <v>4755523.9215607224</v>
      </c>
      <c r="K12" s="96">
        <f t="shared" si="5"/>
        <v>5320184.1653718483</v>
      </c>
      <c r="L12" s="94"/>
      <c r="M12" s="94"/>
      <c r="N12" s="239" t="str">
        <f>'13.Facility 2 Grain Processing'!A159</f>
        <v>Loading/Unloading Charges</v>
      </c>
      <c r="O12" s="239">
        <f>'13.Facility 2 Grain Processing'!C159*2</f>
        <v>20</v>
      </c>
      <c r="P12" s="239">
        <f>O12</f>
        <v>20</v>
      </c>
      <c r="Q12" s="239">
        <f t="shared" ref="Q12:R13" si="6">P12</f>
        <v>20</v>
      </c>
      <c r="R12" s="239">
        <f t="shared" si="6"/>
        <v>20</v>
      </c>
      <c r="S12" s="237"/>
      <c r="T12" s="237"/>
      <c r="U12" s="239" t="str">
        <f>'17.Facility 6 Horti Processing '!A136</f>
        <v>Loading/Unloading Charges</v>
      </c>
      <c r="V12" s="239">
        <f>'17.Facility 6 Horti Processing '!C136</f>
        <v>10</v>
      </c>
    </row>
    <row r="13" spans="3:22">
      <c r="C13" s="95"/>
      <c r="D13" s="95"/>
      <c r="E13" s="95"/>
      <c r="F13" s="96"/>
      <c r="G13" s="96"/>
      <c r="H13" s="96"/>
      <c r="I13" s="96"/>
      <c r="J13" s="96"/>
      <c r="K13" s="96"/>
      <c r="L13" s="94"/>
      <c r="M13" s="94"/>
      <c r="N13" s="239" t="str">
        <f>'13.Facility 2 Grain Processing'!A160</f>
        <v>packaging Exp</v>
      </c>
      <c r="O13" s="239">
        <f>'13.Facility 2 Grain Processing'!C160*2</f>
        <v>40</v>
      </c>
      <c r="P13" s="239">
        <f>O13</f>
        <v>40</v>
      </c>
      <c r="Q13" s="239">
        <f t="shared" si="6"/>
        <v>40</v>
      </c>
      <c r="R13" s="239">
        <f t="shared" si="6"/>
        <v>40</v>
      </c>
      <c r="S13" s="237"/>
      <c r="T13" s="237"/>
      <c r="U13" s="239" t="str">
        <f>'17.Facility 6 Horti Processing '!A137</f>
        <v>packaging Exp</v>
      </c>
      <c r="V13" s="10">
        <f>'17.Facility 6 Horti Processing '!C137*100</f>
        <v>200</v>
      </c>
    </row>
    <row r="14" spans="3:22">
      <c r="C14" s="97" t="s">
        <v>352</v>
      </c>
      <c r="D14" s="99"/>
      <c r="E14" s="95"/>
      <c r="F14" s="96"/>
      <c r="G14" s="96"/>
      <c r="H14" s="96"/>
      <c r="I14" s="96"/>
      <c r="J14" s="96"/>
      <c r="K14" s="96"/>
      <c r="L14" s="94"/>
      <c r="M14" s="94"/>
      <c r="N14" s="239"/>
      <c r="O14" s="10"/>
      <c r="P14" s="10"/>
      <c r="Q14" s="10"/>
      <c r="R14" s="10"/>
      <c r="S14" s="237"/>
      <c r="T14" s="237"/>
      <c r="U14" s="10"/>
      <c r="V14" s="10"/>
    </row>
    <row r="15" spans="3:22">
      <c r="C15" s="95" t="str">
        <f>C6</f>
        <v>Agri Input</v>
      </c>
      <c r="D15" s="313">
        <v>0.05</v>
      </c>
      <c r="E15" s="96">
        <f>SUM('16.Facility 5 Agri Input'!D197:D252)*$D$15</f>
        <v>2115027.2000000002</v>
      </c>
      <c r="F15" s="96">
        <f>SUM('16.Facility 5 Agri Input'!E197:E252)*$D$15</f>
        <v>2391607.6800000002</v>
      </c>
      <c r="G15" s="96">
        <f>SUM('16.Facility 5 Agri Input'!F197:F252)*$D$15</f>
        <v>2690558.6400000006</v>
      </c>
      <c r="H15" s="96">
        <f>SUM('16.Facility 5 Agri Input'!G197:G252)*$D$15</f>
        <v>3013425.6768000014</v>
      </c>
      <c r="I15" s="96">
        <f>SUM('16.Facility 5 Agri Input'!H197:H252)*$D$15</f>
        <v>3361853.0206800024</v>
      </c>
      <c r="J15" s="96">
        <f>SUM('16.Facility 5 Agri Input'!I197:I252)*$D$15</f>
        <v>3737589.534756002</v>
      </c>
      <c r="K15" s="96">
        <f>SUM('16.Facility 5 Agri Input'!J197:J252)*$D$15</f>
        <v>4142495.0676879021</v>
      </c>
      <c r="L15" s="94"/>
      <c r="M15" s="94"/>
      <c r="N15" s="10"/>
      <c r="O15" s="10"/>
      <c r="P15" s="10"/>
      <c r="Q15" s="10"/>
      <c r="R15" s="10"/>
      <c r="U15" s="10"/>
      <c r="V15" s="10"/>
    </row>
    <row r="16" spans="3:22">
      <c r="C16" s="95" t="str">
        <f>C7</f>
        <v>Trading</v>
      </c>
      <c r="D16" s="313">
        <v>0.05</v>
      </c>
      <c r="E16" s="96">
        <f>SUM('12.Facility 1 - Trading'!D233:D284)*$D$16</f>
        <v>732512.08799999999</v>
      </c>
      <c r="F16" s="96">
        <f>SUM('12.Facility 1 - Trading'!E233:E284)*$D$16</f>
        <v>846051.46164000023</v>
      </c>
      <c r="G16" s="96">
        <f>SUM('12.Facility 1 - Trading'!F233:F284)*$D$16</f>
        <v>969113.49242400005</v>
      </c>
      <c r="H16" s="96">
        <f>SUM('12.Facility 1 - Trading'!G233:G284)*$D$16</f>
        <v>1102366.5976323006</v>
      </c>
      <c r="I16" s="96">
        <f>SUM('12.Facility 1 - Trading'!H233:H284)*$D$16</f>
        <v>1246522.2296303704</v>
      </c>
      <c r="J16" s="96">
        <f>SUM('12.Facility 1 - Trading'!I233:I284)*$D$16</f>
        <v>1402337.5083341673</v>
      </c>
      <c r="K16" s="96">
        <f>SUM('12.Facility 1 - Trading'!J233:J284)*$D$16</f>
        <v>1570618.0093342673</v>
      </c>
      <c r="L16" s="94"/>
      <c r="M16" s="94"/>
      <c r="N16" s="238" t="s">
        <v>378</v>
      </c>
      <c r="O16" s="242">
        <f>SUM(O8:O13)</f>
        <v>5136.25</v>
      </c>
      <c r="P16" s="242">
        <f>SUM(P8:P13)</f>
        <v>5936.25</v>
      </c>
      <c r="Q16" s="242">
        <f>SUM(Q8:Q13)</f>
        <v>5936.25</v>
      </c>
      <c r="R16" s="242">
        <f>SUM(R8:R13)</f>
        <v>6336.25</v>
      </c>
      <c r="U16" s="238" t="s">
        <v>1</v>
      </c>
      <c r="V16" s="242">
        <f>SUM(V8:V15)</f>
        <v>8397.5</v>
      </c>
    </row>
    <row r="17" spans="1:18">
      <c r="C17" s="95" t="str">
        <f>C8</f>
        <v xml:space="preserve">Grain Processing </v>
      </c>
      <c r="D17" s="313">
        <v>0.05</v>
      </c>
      <c r="E17" s="96">
        <f>SUM('13.Facility 2 Grain Processing'!D152:D160)*$D$17</f>
        <v>40353.19200000001</v>
      </c>
      <c r="F17" s="96">
        <f>SUM('13.Facility 2 Grain Processing'!E152:E160)*$D$17</f>
        <v>63556.277400000021</v>
      </c>
      <c r="G17" s="96">
        <f>SUM('13.Facility 2 Grain Processing'!F152:F160)*$D$17</f>
        <v>88978.788360000006</v>
      </c>
      <c r="H17" s="96">
        <f>SUM('13.Facility 2 Grain Processing'!G152:G160)*$D$17</f>
        <v>116784.65972250002</v>
      </c>
      <c r="I17" s="96">
        <f>SUM('13.Facility 2 Grain Processing'!H152:H160)*$D$17</f>
        <v>147148.67125035005</v>
      </c>
      <c r="J17" s="96">
        <f>SUM('13.Facility 2 Grain Processing'!I152:I160)*$D$17</f>
        <v>180257.12228167884</v>
      </c>
      <c r="K17" s="96">
        <f>SUM('13.Facility 2 Grain Processing'!J152:J160)*$D$17</f>
        <v>216308.54673801456</v>
      </c>
      <c r="L17" s="94"/>
      <c r="M17" s="94"/>
    </row>
    <row r="18" spans="1:18">
      <c r="C18" s="95" t="s">
        <v>538</v>
      </c>
      <c r="D18" s="313">
        <v>0.05</v>
      </c>
      <c r="E18" s="96">
        <f>SUM('17.Facility 6 Horti Processing '!D132:D137)*$D$18</f>
        <v>0</v>
      </c>
      <c r="F18" s="96">
        <f>SUM('17.Facility 6 Horti Processing '!E132:E137)*$D$18</f>
        <v>0</v>
      </c>
      <c r="G18" s="96">
        <f>SUM('17.Facility 6 Horti Processing '!F132:F137)*$D$18</f>
        <v>0</v>
      </c>
      <c r="H18" s="96">
        <f>SUM('17.Facility 6 Horti Processing '!G132:G137)*$D$18</f>
        <v>0</v>
      </c>
      <c r="I18" s="96">
        <f>SUM('17.Facility 6 Horti Processing '!H132:H137)*$D$18</f>
        <v>0</v>
      </c>
      <c r="J18" s="96">
        <f>SUM('17.Facility 6 Horti Processing '!I132:I137)*$D$18</f>
        <v>0</v>
      </c>
      <c r="K18" s="96">
        <f>SUM('17.Facility 6 Horti Processing '!J132:J137)*$D$18</f>
        <v>0</v>
      </c>
      <c r="L18" s="94"/>
      <c r="M18" s="94"/>
    </row>
    <row r="19" spans="1:18">
      <c r="C19" s="95"/>
      <c r="D19" s="313"/>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193">
        <f t="shared" ref="E21:K21" si="7">SUM(E15:E20)</f>
        <v>2887892.48</v>
      </c>
      <c r="F21" s="96">
        <f t="shared" si="7"/>
        <v>3301215.4190400005</v>
      </c>
      <c r="G21" s="96">
        <f t="shared" si="7"/>
        <v>3748650.9207840008</v>
      </c>
      <c r="H21" s="96">
        <f t="shared" si="7"/>
        <v>4232576.934154802</v>
      </c>
      <c r="I21" s="96">
        <f t="shared" si="7"/>
        <v>4755523.9215607224</v>
      </c>
      <c r="J21" s="96">
        <f t="shared" si="7"/>
        <v>5320184.1653718483</v>
      </c>
      <c r="K21" s="96">
        <f t="shared" si="7"/>
        <v>5929421.6237601843</v>
      </c>
      <c r="L21" s="94"/>
      <c r="M21" s="94"/>
    </row>
    <row r="22" spans="1:18">
      <c r="C22" s="94"/>
      <c r="D22" s="94"/>
      <c r="E22" s="94"/>
      <c r="F22" s="94"/>
      <c r="G22" s="94"/>
      <c r="H22" s="94"/>
      <c r="I22" s="94"/>
      <c r="J22" s="94"/>
      <c r="K22" s="94"/>
      <c r="L22" s="94"/>
      <c r="M22" s="94"/>
    </row>
    <row r="23" spans="1:18" ht="41.1" customHeight="1">
      <c r="A23" s="443" t="s">
        <v>430</v>
      </c>
      <c r="B23" s="443"/>
      <c r="C23" s="443"/>
      <c r="D23" s="443"/>
      <c r="E23" s="443"/>
      <c r="F23" s="443"/>
      <c r="G23" s="443"/>
      <c r="H23" s="443"/>
      <c r="I23" s="443"/>
      <c r="J23" s="443"/>
      <c r="K23" s="443"/>
      <c r="L23" s="327"/>
      <c r="M23" s="327"/>
      <c r="N23" s="327"/>
      <c r="O23" s="277"/>
      <c r="P23" s="277"/>
      <c r="Q23" s="277"/>
      <c r="R23" s="277"/>
    </row>
    <row r="24" spans="1:18">
      <c r="A24" t="s">
        <v>555</v>
      </c>
    </row>
    <row r="25" spans="1:18">
      <c r="A25">
        <v>1</v>
      </c>
      <c r="B25" t="s">
        <v>558</v>
      </c>
    </row>
    <row r="28" spans="1:18" ht="18.75">
      <c r="B28" s="438" t="s">
        <v>581</v>
      </c>
      <c r="C28" s="438"/>
      <c r="D28" s="438"/>
      <c r="E28" s="438"/>
      <c r="F28" s="438"/>
      <c r="G28" s="438"/>
      <c r="H28" s="438"/>
      <c r="I28" s="438"/>
      <c r="J28" s="438"/>
      <c r="K28" s="438"/>
    </row>
    <row r="30" spans="1:18">
      <c r="B30" s="459" t="s">
        <v>146</v>
      </c>
      <c r="C30" s="459" t="s">
        <v>0</v>
      </c>
      <c r="D30" s="462" t="s">
        <v>374</v>
      </c>
      <c r="E30" s="464" t="s">
        <v>160</v>
      </c>
      <c r="F30" s="465"/>
      <c r="G30" s="465"/>
      <c r="H30" s="465"/>
      <c r="I30" s="465"/>
      <c r="J30" s="465"/>
      <c r="K30" s="465"/>
    </row>
    <row r="31" spans="1:18">
      <c r="B31" s="459"/>
      <c r="C31" s="459"/>
      <c r="D31" s="463"/>
      <c r="E31" s="205" t="s">
        <v>2</v>
      </c>
      <c r="F31" s="205" t="s">
        <v>3</v>
      </c>
      <c r="G31" s="205" t="s">
        <v>4</v>
      </c>
      <c r="H31" s="205" t="s">
        <v>5</v>
      </c>
      <c r="I31" s="205" t="s">
        <v>6</v>
      </c>
      <c r="J31" s="205" t="s">
        <v>171</v>
      </c>
      <c r="K31" s="205" t="s">
        <v>170</v>
      </c>
    </row>
    <row r="32" spans="1:18">
      <c r="B32" s="208"/>
      <c r="C32" s="209"/>
      <c r="D32" s="209"/>
      <c r="E32" s="210"/>
      <c r="F32" s="210"/>
      <c r="G32" s="210"/>
      <c r="H32" s="210"/>
      <c r="I32" s="210"/>
      <c r="J32" s="210"/>
      <c r="K32" s="210"/>
    </row>
    <row r="33" spans="2:11" ht="28.5">
      <c r="B33" s="211" t="s">
        <v>175</v>
      </c>
      <c r="C33" s="212" t="s">
        <v>353</v>
      </c>
      <c r="D33" s="402"/>
      <c r="E33" s="213"/>
      <c r="F33" s="213"/>
      <c r="G33" s="213"/>
      <c r="H33" s="213"/>
      <c r="I33" s="213"/>
      <c r="J33" s="213"/>
      <c r="K33" s="213"/>
    </row>
    <row r="34" spans="2:11">
      <c r="B34" s="264">
        <v>1</v>
      </c>
      <c r="C34" s="214" t="s">
        <v>376</v>
      </c>
      <c r="D34" s="402">
        <v>14</v>
      </c>
      <c r="E34" s="213">
        <f>('16.Facility 5 Agri Input'!D191/365)*$D$34</f>
        <v>1901558.179068493</v>
      </c>
      <c r="F34" s="213">
        <f>('16.Facility 5 Agri Input'!E191/365)*$D$34</f>
        <v>2251229.3268164387</v>
      </c>
      <c r="G34" s="213">
        <f>('16.Facility 5 Agri Input'!F191/365)*$D$34</f>
        <v>2533215.7187112342</v>
      </c>
      <c r="H34" s="213">
        <f>('16.Facility 5 Agri Input'!G191/365)*$D$34</f>
        <v>2837772.676478467</v>
      </c>
      <c r="I34" s="213">
        <f>('16.Facility 5 Agri Input'!H191/365)*$D$34</f>
        <v>3166452.2907256456</v>
      </c>
      <c r="J34" s="213">
        <f>('16.Facility 5 Agri Input'!I191/365)*$D$34</f>
        <v>3520905.4347063457</v>
      </c>
      <c r="K34" s="213">
        <f>('16.Facility 5 Agri Input'!J191/365)*$D$34</f>
        <v>3902887.7623583004</v>
      </c>
    </row>
    <row r="35" spans="2:11">
      <c r="B35" s="264">
        <v>2</v>
      </c>
      <c r="C35" s="214" t="s">
        <v>371</v>
      </c>
      <c r="D35" s="402">
        <v>14</v>
      </c>
      <c r="E35" s="213">
        <f>('15. Facility 4 Custom Hiring'!E39/365)*$D$35</f>
        <v>0</v>
      </c>
      <c r="F35" s="213">
        <f>('15. Facility 4 Custom Hiring'!F39/365)*$D$35</f>
        <v>0</v>
      </c>
      <c r="G35" s="213">
        <f>('15. Facility 4 Custom Hiring'!G39/365)*$D$35</f>
        <v>0</v>
      </c>
      <c r="H35" s="213">
        <f>('15. Facility 4 Custom Hiring'!H39/365)*$D$35</f>
        <v>0</v>
      </c>
      <c r="I35" s="213">
        <f>('15. Facility 4 Custom Hiring'!I39/365)*$D$35</f>
        <v>0</v>
      </c>
      <c r="J35" s="213">
        <f>('15. Facility 4 Custom Hiring'!J39/365)*$D$35</f>
        <v>0</v>
      </c>
      <c r="K35" s="213">
        <f>('15. Facility 4 Custom Hiring'!K39/365)*$D$35</f>
        <v>0</v>
      </c>
    </row>
    <row r="36" spans="2:11">
      <c r="B36" s="264">
        <v>3</v>
      </c>
      <c r="C36" s="214" t="s">
        <v>372</v>
      </c>
      <c r="D36" s="402">
        <v>14</v>
      </c>
      <c r="E36" s="213">
        <f>('12.Facility 1 - Trading'!D229/365)*$D$36</f>
        <v>636393.32975342451</v>
      </c>
      <c r="F36" s="213">
        <f>('12.Facility 1 - Trading'!E229/365)*$D$36</f>
        <v>769578.89151452051</v>
      </c>
      <c r="G36" s="213">
        <f>('12.Facility 1 - Trading'!F229/365)*$D$36</f>
        <v>881847.38323873992</v>
      </c>
      <c r="H36" s="213">
        <f>('12.Facility 1 - Trading'!G229/365)*$D$36</f>
        <v>1003418.7769065949</v>
      </c>
      <c r="I36" s="213">
        <f>('12.Facility 1 - Trading'!H229/365)*$D$36</f>
        <v>1134942.6914831384</v>
      </c>
      <c r="J36" s="213">
        <f>('12.Facility 1 - Trading'!I229/365)*$D$36</f>
        <v>1277110.45057507</v>
      </c>
      <c r="K36" s="213">
        <f>('12.Facility 1 - Trading'!J229/365)*$D$36</f>
        <v>1430657.6288474868</v>
      </c>
    </row>
    <row r="37" spans="2:11">
      <c r="B37" s="264">
        <v>4</v>
      </c>
      <c r="C37" s="214" t="s">
        <v>141</v>
      </c>
      <c r="D37" s="402">
        <v>14</v>
      </c>
      <c r="E37" s="213">
        <f>('13.Facility 2 Grain Processing'!D148/365)*$D$37</f>
        <v>52347.511232876714</v>
      </c>
      <c r="F37" s="213">
        <f>('13.Facility 2 Grain Processing'!E148/365)*$D$37</f>
        <v>83876.315178082208</v>
      </c>
      <c r="G37" s="213">
        <f>('13.Facility 2 Grain Processing'!F148/365)*$D$37</f>
        <v>117676.91362191783</v>
      </c>
      <c r="H37" s="213">
        <f>('13.Facility 2 Grain Processing'!G148/365)*$D$37</f>
        <v>154647.88112219181</v>
      </c>
      <c r="I37" s="213">
        <f>('13.Facility 2 Grain Processing'!H148/365)*$D$37</f>
        <v>195021.75308843842</v>
      </c>
      <c r="J37" s="213">
        <f>('13.Facility 2 Grain Processing'!I148/365)*$D$37</f>
        <v>239046.39254850417</v>
      </c>
      <c r="K37" s="213">
        <f>('13.Facility 2 Grain Processing'!J148/365)*$D$37</f>
        <v>286985.94157185545</v>
      </c>
    </row>
    <row r="38" spans="2:11">
      <c r="B38" s="264">
        <v>5</v>
      </c>
      <c r="C38" s="214" t="s">
        <v>303</v>
      </c>
      <c r="D38" s="402">
        <v>14</v>
      </c>
      <c r="E38" s="213">
        <f>('14. Facility 3 Warehouse'!D23/365)*$D$38</f>
        <v>84690.410958904104</v>
      </c>
      <c r="F38" s="213">
        <f>('14. Facility 3 Warehouse'!E23/365)*$D$38</f>
        <v>94482.739726027416</v>
      </c>
      <c r="G38" s="213">
        <f>('14. Facility 3 Warehouse'!F23/365)*$D$38</f>
        <v>105042.57534246579</v>
      </c>
      <c r="H38" s="213">
        <f>('14. Facility 3 Warehouse'!G23/365)*$D$38</f>
        <v>116422.18767123292</v>
      </c>
      <c r="I38" s="213">
        <f>('14. Facility 3 Warehouse'!H23/365)*$D$38</f>
        <v>128677.15479452063</v>
      </c>
      <c r="J38" s="213">
        <f>('14. Facility 3 Warehouse'!I23/365)*$D$38</f>
        <v>135111.01253424666</v>
      </c>
      <c r="K38" s="213">
        <f>('14. Facility 3 Warehouse'!J23/365)*$D$38</f>
        <v>141866.56316095899</v>
      </c>
    </row>
    <row r="39" spans="2:11" ht="30">
      <c r="B39" s="264">
        <v>6</v>
      </c>
      <c r="C39" s="214" t="s">
        <v>550</v>
      </c>
      <c r="D39" s="402">
        <v>14</v>
      </c>
      <c r="E39" s="213">
        <f>('17.Facility 6 Horti Processing '!D128/365)*$D$39</f>
        <v>0</v>
      </c>
      <c r="F39" s="213">
        <f>('17.Facility 6 Horti Processing '!E128/365)*$D$39</f>
        <v>0</v>
      </c>
      <c r="G39" s="213">
        <f>('17.Facility 6 Horti Processing '!F128/365)*$D$39</f>
        <v>0</v>
      </c>
      <c r="H39" s="213">
        <f>('17.Facility 6 Horti Processing '!G128/365)*$D$39</f>
        <v>0</v>
      </c>
      <c r="I39" s="213">
        <f>('17.Facility 6 Horti Processing '!H128/365)*$D$39</f>
        <v>0</v>
      </c>
      <c r="J39" s="213">
        <f>('17.Facility 6 Horti Processing '!I128/365)*$D$39</f>
        <v>0</v>
      </c>
      <c r="K39" s="213">
        <f>('17.Facility 6 Horti Processing '!J128/365)*$D$39</f>
        <v>0</v>
      </c>
    </row>
    <row r="40" spans="2:11">
      <c r="B40" s="264"/>
      <c r="C40" s="214"/>
      <c r="D40" s="402"/>
      <c r="E40" s="213"/>
      <c r="F40" s="213"/>
      <c r="G40" s="213"/>
      <c r="H40" s="213"/>
      <c r="I40" s="213"/>
      <c r="J40" s="213"/>
      <c r="K40" s="213"/>
    </row>
    <row r="41" spans="2:11">
      <c r="B41" s="249"/>
      <c r="C41" s="212" t="s">
        <v>173</v>
      </c>
      <c r="D41" s="402"/>
      <c r="E41" s="213">
        <f>SUM(E34:E40)</f>
        <v>2674989.4310136987</v>
      </c>
      <c r="F41" s="213">
        <f t="shared" ref="F41:K41" si="8">SUM(F34:F40)</f>
        <v>3199167.2732350691</v>
      </c>
      <c r="G41" s="213">
        <f t="shared" si="8"/>
        <v>3637782.5909143575</v>
      </c>
      <c r="H41" s="213">
        <f t="shared" si="8"/>
        <v>4112261.5221784865</v>
      </c>
      <c r="I41" s="213">
        <f t="shared" si="8"/>
        <v>4625093.8900917424</v>
      </c>
      <c r="J41" s="213">
        <f t="shared" si="8"/>
        <v>5172173.2903641667</v>
      </c>
      <c r="K41" s="213">
        <f t="shared" si="8"/>
        <v>5762397.8959386023</v>
      </c>
    </row>
    <row r="42" spans="2:11">
      <c r="B42" s="211" t="s">
        <v>176</v>
      </c>
      <c r="C42" s="212" t="s">
        <v>352</v>
      </c>
      <c r="D42" s="402"/>
      <c r="E42" s="213">
        <f>'5.Closing Stock &amp; W Capital'!E21</f>
        <v>2887892.48</v>
      </c>
      <c r="F42" s="213">
        <f>'5.Closing Stock &amp; W Capital'!F21</f>
        <v>3301215.4190400005</v>
      </c>
      <c r="G42" s="213">
        <f>'5.Closing Stock &amp; W Capital'!G21</f>
        <v>3748650.9207840008</v>
      </c>
      <c r="H42" s="213">
        <f>'5.Closing Stock &amp; W Capital'!H21</f>
        <v>4232576.934154802</v>
      </c>
      <c r="I42" s="213">
        <f>'5.Closing Stock &amp; W Capital'!I21</f>
        <v>4755523.9215607224</v>
      </c>
      <c r="J42" s="213">
        <f>'5.Closing Stock &amp; W Capital'!J21</f>
        <v>5320184.1653718483</v>
      </c>
      <c r="K42" s="213">
        <f>'5.Closing Stock &amp; W Capital'!K21</f>
        <v>5929421.6237601843</v>
      </c>
    </row>
    <row r="43" spans="2:11">
      <c r="B43" s="211"/>
      <c r="C43" s="214"/>
      <c r="D43" s="402"/>
      <c r="E43" s="213"/>
      <c r="F43" s="213"/>
      <c r="G43" s="213"/>
      <c r="H43" s="213"/>
      <c r="I43" s="213"/>
      <c r="J43" s="213"/>
      <c r="K43" s="213"/>
    </row>
    <row r="44" spans="2:11">
      <c r="B44" s="460" t="s">
        <v>1</v>
      </c>
      <c r="C44" s="461"/>
      <c r="D44" s="372"/>
      <c r="E44" s="215">
        <f>SUM(E41:E42)</f>
        <v>5562881.9110136982</v>
      </c>
      <c r="F44" s="215">
        <f t="shared" ref="F44:K44" si="9">SUM(F41:F42)</f>
        <v>6500382.6922750697</v>
      </c>
      <c r="G44" s="215">
        <f t="shared" si="9"/>
        <v>7386433.5116983578</v>
      </c>
      <c r="H44" s="215">
        <f t="shared" si="9"/>
        <v>8344838.4563332889</v>
      </c>
      <c r="I44" s="215">
        <f t="shared" si="9"/>
        <v>9380617.8116524648</v>
      </c>
      <c r="J44" s="215">
        <f t="shared" si="9"/>
        <v>10492357.455736015</v>
      </c>
      <c r="K44" s="215">
        <f t="shared" si="9"/>
        <v>11691819.519698787</v>
      </c>
    </row>
    <row r="45" spans="2:11">
      <c r="B45" s="211"/>
      <c r="C45" s="212"/>
      <c r="D45" s="402"/>
      <c r="E45" s="213"/>
      <c r="F45" s="213"/>
      <c r="G45" s="213"/>
      <c r="H45" s="213"/>
      <c r="I45" s="213"/>
      <c r="J45" s="213"/>
      <c r="K45" s="213"/>
    </row>
    <row r="46" spans="2:11" ht="34.5" customHeight="1">
      <c r="B46" s="211" t="s">
        <v>177</v>
      </c>
      <c r="C46" s="214" t="s">
        <v>354</v>
      </c>
      <c r="D46" s="402"/>
      <c r="E46" s="213"/>
      <c r="F46" s="213"/>
      <c r="G46" s="213"/>
      <c r="H46" s="213"/>
      <c r="I46" s="213"/>
      <c r="J46" s="213"/>
      <c r="K46" s="213"/>
    </row>
    <row r="47" spans="2:11">
      <c r="B47" s="264">
        <v>1</v>
      </c>
      <c r="C47" s="214" t="str">
        <f t="shared" ref="C47:C52" si="10">C34</f>
        <v>Agri Input</v>
      </c>
      <c r="D47" s="402">
        <v>7</v>
      </c>
      <c r="E47" s="213">
        <f>('16.Facility 5 Agri Input'!D262/365)*$D$47</f>
        <v>832116.44899945206</v>
      </c>
      <c r="F47" s="213">
        <f>('16.Facility 5 Agri Input'!E262/365)*$D$47</f>
        <v>981493.84242498642</v>
      </c>
      <c r="G47" s="213">
        <f>('16.Facility 5 Agri Input'!F262/365)*$D$47</f>
        <v>1104414.5852212606</v>
      </c>
      <c r="H47" s="213">
        <f>('16.Facility 5 Agri Input'!G262/365)*$D$47</f>
        <v>1237173.6676910999</v>
      </c>
      <c r="I47" s="213">
        <f>('16.Facility 5 Agri Input'!H262/365)*$D$47</f>
        <v>1380447.6219448696</v>
      </c>
      <c r="J47" s="213">
        <f>('16.Facility 5 Agri Input'!I262/365)*$D$47</f>
        <v>1534956.0374547883</v>
      </c>
      <c r="K47" s="213">
        <f>('16.Facility 5 Agri Input'!J262/365)*$D$47</f>
        <v>1701464.1754608373</v>
      </c>
    </row>
    <row r="48" spans="2:11">
      <c r="B48" s="264">
        <v>2</v>
      </c>
      <c r="C48" s="214" t="str">
        <f t="shared" si="10"/>
        <v>Custom Hiring</v>
      </c>
      <c r="D48" s="402">
        <v>7</v>
      </c>
      <c r="E48" s="213">
        <f>('15. Facility 4 Custom Hiring'!E49/365)*$D$49</f>
        <v>0</v>
      </c>
      <c r="F48" s="213">
        <f>('15. Facility 4 Custom Hiring'!F49/365)*$D$49</f>
        <v>0</v>
      </c>
      <c r="G48" s="213">
        <f>('15. Facility 4 Custom Hiring'!G49/365)*$D$49</f>
        <v>0</v>
      </c>
      <c r="H48" s="213">
        <f>('15. Facility 4 Custom Hiring'!H49/365)*$D$49</f>
        <v>0</v>
      </c>
      <c r="I48" s="213">
        <f>('15. Facility 4 Custom Hiring'!I49/365)*$D$49</f>
        <v>0</v>
      </c>
      <c r="J48" s="213">
        <f>('15. Facility 4 Custom Hiring'!J49/365)*$D$49</f>
        <v>0</v>
      </c>
      <c r="K48" s="213">
        <f>('15. Facility 4 Custom Hiring'!K49/365)*$D$49</f>
        <v>0</v>
      </c>
    </row>
    <row r="49" spans="1:12">
      <c r="B49" s="264">
        <v>3</v>
      </c>
      <c r="C49" s="214" t="str">
        <f t="shared" si="10"/>
        <v>Cleaning &amp; Grading</v>
      </c>
      <c r="D49" s="402">
        <v>7</v>
      </c>
      <c r="E49" s="213">
        <f>('12.Facility 1 - Trading'!D292/365)*$D$49</f>
        <v>269199.03590136988</v>
      </c>
      <c r="F49" s="213">
        <f>('12.Facility 1 - Trading'!E292/365)*$D$49</f>
        <v>324973.06349621923</v>
      </c>
      <c r="G49" s="213">
        <f>('12.Facility 1 - Trading'!F292/365)*$D$49</f>
        <v>372375.96896732063</v>
      </c>
      <c r="H49" s="213">
        <f>('12.Facility 1 - Trading'!G292/365)*$D$49</f>
        <v>423706.73232679174</v>
      </c>
      <c r="I49" s="213">
        <f>('12.Facility 1 - Trading'!H292/365)*$D$49</f>
        <v>479239.63209979137</v>
      </c>
      <c r="J49" s="213">
        <f>('12.Facility 1 - Trading'!I292/365)*$D$49</f>
        <v>539266.55501927424</v>
      </c>
      <c r="K49" s="213">
        <f>('12.Facility 1 - Trading'!J292/365)*$D$49</f>
        <v>604098.07115045597</v>
      </c>
    </row>
    <row r="50" spans="1:12">
      <c r="B50" s="264">
        <v>4</v>
      </c>
      <c r="C50" s="214" t="str">
        <f t="shared" si="10"/>
        <v>Dal Mill</v>
      </c>
      <c r="D50" s="402">
        <v>7</v>
      </c>
      <c r="E50" s="213">
        <f>('13.Facility 2 Grain Processing'!D169/365)*$D$50</f>
        <v>15287.299002739726</v>
      </c>
      <c r="F50" s="213">
        <f>('13.Facility 2 Grain Processing'!E169/365)*$D$50</f>
        <v>24851.392762191786</v>
      </c>
      <c r="G50" s="213">
        <f>('13.Facility 2 Grain Processing'!F169/365)*$D$50</f>
        <v>34927.381812821914</v>
      </c>
      <c r="H50" s="213">
        <f>('13.Facility 2 Grain Processing'!G169/365)*$D$50</f>
        <v>45948.841286609597</v>
      </c>
      <c r="I50" s="213">
        <f>('13.Facility 2 Grain Processing'!H169/365)*$D$50</f>
        <v>57985.128253243987</v>
      </c>
      <c r="J50" s="213">
        <f>('13.Facility 2 Grain Processing'!I169/365)*$D$50</f>
        <v>71110.171813325287</v>
      </c>
      <c r="K50" s="213">
        <f>('13.Facility 2 Grain Processing'!J169/365)*$D$50</f>
        <v>85402.756908781608</v>
      </c>
    </row>
    <row r="51" spans="1:12">
      <c r="B51" s="264">
        <v>5</v>
      </c>
      <c r="C51" s="214" t="str">
        <f t="shared" si="10"/>
        <v>Warehouse</v>
      </c>
      <c r="D51" s="402">
        <v>7</v>
      </c>
      <c r="E51" s="213">
        <f>('14. Facility 3 Warehouse'!D34/365)*$D$51</f>
        <v>14345.205479452055</v>
      </c>
      <c r="F51" s="213">
        <f>('14. Facility 3 Warehouse'!E34/365)*$D$51</f>
        <v>15062.465753424658</v>
      </c>
      <c r="G51" s="213">
        <f>('14. Facility 3 Warehouse'!F34/365)*$D$51</f>
        <v>15815.589041095891</v>
      </c>
      <c r="H51" s="213">
        <f>('14. Facility 3 Warehouse'!G34/365)*$D$51</f>
        <v>16606.368493150687</v>
      </c>
      <c r="I51" s="213">
        <f>('14. Facility 3 Warehouse'!H34/365)*$D$51</f>
        <v>17436.686917808223</v>
      </c>
      <c r="J51" s="213">
        <f>('14. Facility 3 Warehouse'!I34/365)*$D$51</f>
        <v>18308.521263698633</v>
      </c>
      <c r="K51" s="213">
        <f>('14. Facility 3 Warehouse'!J34/365)*$D$51</f>
        <v>19223.947326883568</v>
      </c>
    </row>
    <row r="52" spans="1:12" ht="30">
      <c r="B52" s="264"/>
      <c r="C52" s="214" t="str">
        <f t="shared" si="10"/>
        <v>Processing Unit - Horti Commodity</v>
      </c>
      <c r="D52" s="402">
        <v>7</v>
      </c>
      <c r="E52" s="213">
        <f>('17.Facility 6 Horti Processing '!D146/365)*$D$52</f>
        <v>-773.89683287671255</v>
      </c>
      <c r="F52" s="213">
        <f>('17.Facility 6 Horti Processing '!E146/365)*$D$52</f>
        <v>-444.99067890410981</v>
      </c>
      <c r="G52" s="213">
        <f>('17.Facility 6 Horti Processing '!F146/365)*$D$52</f>
        <v>-487.55500471232853</v>
      </c>
      <c r="H52" s="213">
        <f>('17.Facility 6 Horti Processing '!G146/365)*$D$52</f>
        <v>-533.26328640410975</v>
      </c>
      <c r="I52" s="213">
        <f>('17.Facility 6 Horti Processing '!H146/365)*$D$52</f>
        <v>-582.32350875328825</v>
      </c>
      <c r="J52" s="213">
        <f>('17.Facility 6 Horti Processing '!I146/365)*$D$52</f>
        <v>-634.95659512137399</v>
      </c>
      <c r="K52" s="213">
        <f>('17.Facility 6 Horti Processing '!J146/365)*$D$52</f>
        <v>-691.39718135438375</v>
      </c>
    </row>
    <row r="53" spans="1:12">
      <c r="B53" s="264"/>
      <c r="C53" s="214"/>
      <c r="D53" s="402"/>
      <c r="E53" s="213"/>
      <c r="F53" s="213"/>
      <c r="G53" s="213"/>
      <c r="H53" s="213"/>
      <c r="I53" s="213"/>
      <c r="J53" s="213"/>
      <c r="K53" s="213"/>
    </row>
    <row r="54" spans="1:12">
      <c r="B54" s="206"/>
      <c r="C54" s="212" t="s">
        <v>1</v>
      </c>
      <c r="D54" s="402"/>
      <c r="E54" s="215">
        <f>SUM(E47:E53)</f>
        <v>1130174.0925501373</v>
      </c>
      <c r="F54" s="215">
        <f t="shared" ref="F54:K54" si="11">SUM(F47:F53)</f>
        <v>1345935.773757918</v>
      </c>
      <c r="G54" s="215">
        <f t="shared" si="11"/>
        <v>1527045.9700377865</v>
      </c>
      <c r="H54" s="215">
        <f t="shared" si="11"/>
        <v>1722902.3465112478</v>
      </c>
      <c r="I54" s="215">
        <f t="shared" si="11"/>
        <v>1934526.7457069601</v>
      </c>
      <c r="J54" s="215">
        <f t="shared" si="11"/>
        <v>2163006.3289559651</v>
      </c>
      <c r="K54" s="215">
        <f t="shared" si="11"/>
        <v>2409497.5536656044</v>
      </c>
    </row>
    <row r="55" spans="1:12">
      <c r="B55" s="211" t="s">
        <v>178</v>
      </c>
      <c r="C55" s="212" t="s">
        <v>158</v>
      </c>
      <c r="D55" s="402"/>
      <c r="E55" s="215">
        <f>E44-E54</f>
        <v>4432707.8184635611</v>
      </c>
      <c r="F55" s="215">
        <f t="shared" ref="F55:K55" si="12">F44-F54</f>
        <v>5154446.9185171518</v>
      </c>
      <c r="G55" s="215">
        <f t="shared" si="12"/>
        <v>5859387.5416605715</v>
      </c>
      <c r="H55" s="215">
        <f t="shared" si="12"/>
        <v>6621936.1098220414</v>
      </c>
      <c r="I55" s="215">
        <f t="shared" si="12"/>
        <v>7446091.0659455042</v>
      </c>
      <c r="J55" s="215">
        <f t="shared" si="12"/>
        <v>8329351.1267800499</v>
      </c>
      <c r="K55" s="215">
        <f t="shared" si="12"/>
        <v>9282321.966033183</v>
      </c>
    </row>
    <row r="56" spans="1:12">
      <c r="B56" s="211"/>
      <c r="C56" s="212" t="s">
        <v>135</v>
      </c>
      <c r="D56" s="403">
        <v>0.25</v>
      </c>
      <c r="E56" s="215">
        <f>E55*$D$56</f>
        <v>1108176.9546158903</v>
      </c>
      <c r="F56" s="215"/>
      <c r="G56" s="215"/>
      <c r="H56" s="215"/>
      <c r="I56" s="215"/>
      <c r="J56" s="215"/>
      <c r="K56" s="215"/>
    </row>
    <row r="58" spans="1:12">
      <c r="E58" s="29"/>
    </row>
    <row r="59" spans="1:12" ht="36.950000000000003" customHeight="1">
      <c r="A59" s="457" t="s">
        <v>425</v>
      </c>
      <c r="B59" s="458"/>
      <c r="C59" s="458"/>
      <c r="D59" s="458"/>
      <c r="E59" s="458"/>
      <c r="F59" s="458"/>
      <c r="G59" s="458"/>
      <c r="H59" s="458"/>
      <c r="I59" s="458"/>
      <c r="J59" s="458"/>
      <c r="K59" s="458"/>
      <c r="L59" s="458"/>
    </row>
    <row r="60" spans="1:12">
      <c r="A60" t="s">
        <v>559</v>
      </c>
    </row>
    <row r="61" spans="1:12">
      <c r="A61">
        <v>1</v>
      </c>
      <c r="B61" t="s">
        <v>560</v>
      </c>
    </row>
    <row r="62" spans="1:12">
      <c r="A62">
        <v>2</v>
      </c>
      <c r="B62" t="s">
        <v>561</v>
      </c>
    </row>
    <row r="63" spans="1:12">
      <c r="A63">
        <v>3</v>
      </c>
      <c r="B63" t="s">
        <v>562</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27" right="0.21" top="0.75" bottom="0.75" header="0.3" footer="0.3"/>
  <pageSetup paperSize="9" scale="42"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7"/>
  <sheetViews>
    <sheetView view="pageBreakPreview" topLeftCell="A5" zoomScale="80" zoomScaleNormal="100" zoomScaleSheetLayoutView="80" workbookViewId="0">
      <selection activeCell="F51" sqref="F51"/>
    </sheetView>
  </sheetViews>
  <sheetFormatPr defaultRowHeight="15"/>
  <cols>
    <col min="1" max="1" width="41.85546875" customWidth="1"/>
    <col min="2" max="2" width="16.28515625" bestFit="1" customWidth="1"/>
    <col min="3"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36" t="s">
        <v>582</v>
      </c>
      <c r="B2" s="436"/>
      <c r="C2" s="436"/>
      <c r="D2" s="436"/>
      <c r="E2" s="436"/>
      <c r="F2" s="436"/>
      <c r="G2" s="436"/>
      <c r="H2" s="436"/>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525</v>
      </c>
      <c r="B8" s="96">
        <f>'12.Facility 1 - Trading'!D229</f>
        <v>16591683.239999998</v>
      </c>
      <c r="C8" s="96">
        <f>'12.Facility 1 - Trading'!E229</f>
        <v>20064021.100199997</v>
      </c>
      <c r="D8" s="96">
        <f>'12.Facility 1 - Trading'!F229</f>
        <v>22991021.063010003</v>
      </c>
      <c r="E8" s="96">
        <f>'12.Facility 1 - Trading'!G229</f>
        <v>26160560.969350506</v>
      </c>
      <c r="F8" s="96">
        <f>'12.Facility 1 - Trading'!H229</f>
        <v>29589577.313667536</v>
      </c>
      <c r="G8" s="96">
        <f>'12.Facility 1 - Trading'!I229</f>
        <v>33296093.889992896</v>
      </c>
      <c r="H8" s="96">
        <f>'12.Facility 1 - Trading'!J229</f>
        <v>37299288.180666618</v>
      </c>
    </row>
    <row r="9" spans="1:8">
      <c r="A9" s="95" t="s">
        <v>526</v>
      </c>
      <c r="B9" s="96">
        <f>'13.Facility 2 Grain Processing'!D148</f>
        <v>1364774.4000000001</v>
      </c>
      <c r="C9" s="96">
        <f>'13.Facility 2 Grain Processing'!E148</f>
        <v>2186775.3600000003</v>
      </c>
      <c r="D9" s="96">
        <f>'13.Facility 2 Grain Processing'!F148</f>
        <v>3068005.2480000006</v>
      </c>
      <c r="E9" s="96">
        <f>'13.Facility 2 Grain Processing'!G148</f>
        <v>4031891.1864000014</v>
      </c>
      <c r="F9" s="96">
        <f>'13.Facility 2 Grain Processing'!H148</f>
        <v>5084495.7055200012</v>
      </c>
      <c r="G9" s="96">
        <f>'13.Facility 2 Grain Processing'!I148</f>
        <v>6232280.948586002</v>
      </c>
      <c r="H9" s="96">
        <f>'13.Facility 2 Grain Processing'!J148</f>
        <v>7482133.4766948018</v>
      </c>
    </row>
    <row r="10" spans="1:8">
      <c r="A10" s="95" t="s">
        <v>527</v>
      </c>
      <c r="B10" s="96">
        <f>'14. Facility 3 Warehouse'!D23</f>
        <v>2208000</v>
      </c>
      <c r="C10" s="96">
        <f>'14. Facility 3 Warehouse'!E23</f>
        <v>2463300.0000000005</v>
      </c>
      <c r="D10" s="96">
        <f>'14. Facility 3 Warehouse'!F23</f>
        <v>2738610.0000000009</v>
      </c>
      <c r="E10" s="96">
        <f>'14. Facility 3 Warehouse'!G23</f>
        <v>3035292.7500000014</v>
      </c>
      <c r="F10" s="96">
        <f>'14. Facility 3 Warehouse'!H23</f>
        <v>3354797.2500000019</v>
      </c>
      <c r="G10" s="96">
        <f>'14. Facility 3 Warehouse'!I23</f>
        <v>3522537.1125000021</v>
      </c>
      <c r="H10" s="96">
        <f>'14. Facility 3 Warehouse'!J23</f>
        <v>3698663.9681250025</v>
      </c>
    </row>
    <row r="11" spans="1:8">
      <c r="A11" s="95" t="s">
        <v>528</v>
      </c>
      <c r="B11" s="96">
        <f>'15. Facility 4 Custom Hiring'!E39</f>
        <v>0</v>
      </c>
      <c r="C11" s="96">
        <f>'15. Facility 4 Custom Hiring'!F39</f>
        <v>0</v>
      </c>
      <c r="D11" s="96">
        <f>'15. Facility 4 Custom Hiring'!G39</f>
        <v>0</v>
      </c>
      <c r="E11" s="96">
        <f>'15. Facility 4 Custom Hiring'!H39</f>
        <v>0</v>
      </c>
      <c r="F11" s="96">
        <f>'15. Facility 4 Custom Hiring'!I39</f>
        <v>0</v>
      </c>
      <c r="G11" s="96">
        <f>'15. Facility 4 Custom Hiring'!J39</f>
        <v>0</v>
      </c>
      <c r="H11" s="96">
        <f>'15. Facility 4 Custom Hiring'!K39</f>
        <v>0</v>
      </c>
    </row>
    <row r="12" spans="1:8">
      <c r="A12" s="95" t="s">
        <v>524</v>
      </c>
      <c r="B12" s="96">
        <f>'16.Facility 5 Agri Input'!D191</f>
        <v>49576338.239999995</v>
      </c>
      <c r="C12" s="96">
        <f>'16.Facility 5 Agri Input'!E191</f>
        <v>58692764.592</v>
      </c>
      <c r="D12" s="96">
        <f>'16.Facility 5 Agri Input'!F191</f>
        <v>66044552.66640003</v>
      </c>
      <c r="E12" s="96">
        <f>'16.Facility 5 Agri Input'!G191</f>
        <v>73984787.636760026</v>
      </c>
      <c r="F12" s="96">
        <f>'16.Facility 5 Agri Input'!H191</f>
        <v>82553934.722490042</v>
      </c>
      <c r="G12" s="96">
        <f>'16.Facility 5 Agri Input'!I191</f>
        <v>91795034.54770115</v>
      </c>
      <c r="H12" s="96">
        <f>'16.Facility 5 Agri Input'!J191</f>
        <v>101753859.51862712</v>
      </c>
    </row>
    <row r="13" spans="1:8">
      <c r="A13" s="95" t="s">
        <v>549</v>
      </c>
      <c r="B13" s="96">
        <f>'17.Facility 6 Horti Processing '!D128</f>
        <v>0</v>
      </c>
      <c r="C13" s="96">
        <f>'17.Facility 6 Horti Processing '!E128</f>
        <v>0</v>
      </c>
      <c r="D13" s="96">
        <f>'17.Facility 6 Horti Processing '!F128</f>
        <v>0</v>
      </c>
      <c r="E13" s="96">
        <f>'17.Facility 6 Horti Processing '!G128</f>
        <v>0</v>
      </c>
      <c r="F13" s="96">
        <f>'17.Facility 6 Horti Processing '!H128</f>
        <v>0</v>
      </c>
      <c r="G13" s="96">
        <f>'17.Facility 6 Horti Processing '!I128</f>
        <v>0</v>
      </c>
      <c r="H13" s="96">
        <f>'17.Facility 6 Horti Processing '!J128</f>
        <v>0</v>
      </c>
    </row>
    <row r="14" spans="1:8">
      <c r="A14" s="95"/>
      <c r="B14" s="96"/>
      <c r="C14" s="96"/>
      <c r="D14" s="96"/>
      <c r="E14" s="96"/>
      <c r="F14" s="96"/>
      <c r="G14" s="96"/>
      <c r="H14" s="96"/>
    </row>
    <row r="15" spans="1:8">
      <c r="A15" s="97" t="s">
        <v>144</v>
      </c>
      <c r="B15" s="115">
        <f>SUM(B8:B14)</f>
        <v>69740795.879999995</v>
      </c>
      <c r="C15" s="115">
        <f t="shared" ref="C15:H15" si="0">SUM(C8:C14)</f>
        <v>83406861.05219999</v>
      </c>
      <c r="D15" s="115">
        <f t="shared" si="0"/>
        <v>94842188.977410033</v>
      </c>
      <c r="E15" s="115">
        <f t="shared" si="0"/>
        <v>107212532.54251054</v>
      </c>
      <c r="F15" s="115">
        <f t="shared" si="0"/>
        <v>120582804.99167758</v>
      </c>
      <c r="G15" s="115">
        <f t="shared" si="0"/>
        <v>134845946.49878004</v>
      </c>
      <c r="H15" s="115">
        <f t="shared" si="0"/>
        <v>150233945.14411354</v>
      </c>
    </row>
    <row r="16" spans="1:8">
      <c r="A16" s="95"/>
      <c r="B16" s="96"/>
      <c r="C16" s="96"/>
      <c r="D16" s="96"/>
      <c r="E16" s="96"/>
      <c r="F16" s="96"/>
      <c r="G16" s="96"/>
      <c r="H16" s="96"/>
    </row>
    <row r="17" spans="1:8">
      <c r="A17" s="97" t="s">
        <v>315</v>
      </c>
      <c r="B17" s="96"/>
      <c r="C17" s="96"/>
      <c r="D17" s="96"/>
      <c r="E17" s="96"/>
      <c r="F17" s="96"/>
      <c r="G17" s="96"/>
      <c r="H17" s="96"/>
    </row>
    <row r="18" spans="1:8">
      <c r="A18" s="95" t="str">
        <f t="shared" ref="A18:A23" si="1">A8</f>
        <v>Faclitiy 1 - Cleaning &amp; Grading</v>
      </c>
      <c r="B18" s="96">
        <f>'12.Facility 1 - Trading'!D292</f>
        <v>14036806.872</v>
      </c>
      <c r="C18" s="96">
        <f>'12.Facility 1 - Trading'!E292</f>
        <v>16945024.025160003</v>
      </c>
      <c r="D18" s="96">
        <f>'12.Facility 1 - Trading'!F292</f>
        <v>19416746.953296002</v>
      </c>
      <c r="E18" s="96">
        <f>'12.Facility 1 - Trading'!G292</f>
        <v>22093279.614182711</v>
      </c>
      <c r="F18" s="96">
        <f>'12.Facility 1 - Trading'!H292</f>
        <v>24988923.673774838</v>
      </c>
      <c r="G18" s="96">
        <f>'12.Facility 1 - Trading'!I292</f>
        <v>28118898.94029073</v>
      </c>
      <c r="H18" s="96">
        <f>'12.Facility 1 - Trading'!J292</f>
        <v>31499399.424273778</v>
      </c>
    </row>
    <row r="19" spans="1:8">
      <c r="A19" s="95" t="str">
        <f t="shared" si="1"/>
        <v>Faclitiy 2 - Processing Unit- Dal Mill</v>
      </c>
      <c r="B19" s="96">
        <f>'13.Facility 2 Grain Processing'!D169</f>
        <v>797123.44800000009</v>
      </c>
      <c r="C19" s="96">
        <f>'13.Facility 2 Grain Processing'!E169</f>
        <v>1295822.6226000004</v>
      </c>
      <c r="D19" s="96">
        <f>'13.Facility 2 Grain Processing'!F169</f>
        <v>1821213.4802399999</v>
      </c>
      <c r="E19" s="96">
        <f>'13.Facility 2 Grain Processing'!G169</f>
        <v>2395903.8670875006</v>
      </c>
      <c r="F19" s="96">
        <f>'13.Facility 2 Grain Processing'!H169</f>
        <v>3023510.2589191506</v>
      </c>
      <c r="G19" s="96">
        <f>'13.Facility 2 Grain Processing'!I169</f>
        <v>3707887.5302662472</v>
      </c>
      <c r="H19" s="96">
        <f>'13.Facility 2 Grain Processing'!J169</f>
        <v>4453143.7531007556</v>
      </c>
    </row>
    <row r="20" spans="1:8">
      <c r="A20" s="95" t="str">
        <f t="shared" si="1"/>
        <v>Faclitiy 3 - Warehouse</v>
      </c>
      <c r="B20" s="96">
        <f>'14. Facility 3 Warehouse'!D34</f>
        <v>748000</v>
      </c>
      <c r="C20" s="96">
        <f>'14. Facility 3 Warehouse'!E34</f>
        <v>785400</v>
      </c>
      <c r="D20" s="96">
        <f>'14. Facility 3 Warehouse'!F34</f>
        <v>824670</v>
      </c>
      <c r="E20" s="96">
        <f>'14. Facility 3 Warehouse'!G34</f>
        <v>865903.50000000012</v>
      </c>
      <c r="F20" s="96">
        <f>'14. Facility 3 Warehouse'!H34</f>
        <v>909198.67500000016</v>
      </c>
      <c r="G20" s="96">
        <f>'14. Facility 3 Warehouse'!I34</f>
        <v>954658.60875000013</v>
      </c>
      <c r="H20" s="96">
        <f>'14. Facility 3 Warehouse'!J34</f>
        <v>1002391.5391875004</v>
      </c>
    </row>
    <row r="21" spans="1:8">
      <c r="A21" s="95" t="str">
        <f t="shared" si="1"/>
        <v xml:space="preserve">Faclitiy 4 - Custom Hiring </v>
      </c>
      <c r="B21" s="96">
        <f>'14. Facility 3 Warehouse'!D35</f>
        <v>0</v>
      </c>
      <c r="C21" s="96">
        <f>'15. Facility 4 Custom Hiring'!F49</f>
        <v>0</v>
      </c>
      <c r="D21" s="96">
        <f>'15. Facility 4 Custom Hiring'!G49</f>
        <v>0</v>
      </c>
      <c r="E21" s="96">
        <f>'15. Facility 4 Custom Hiring'!H49</f>
        <v>0</v>
      </c>
      <c r="F21" s="96">
        <f>'15. Facility 4 Custom Hiring'!I49</f>
        <v>0</v>
      </c>
      <c r="G21" s="96">
        <f>'15. Facility 4 Custom Hiring'!J49</f>
        <v>0</v>
      </c>
      <c r="H21" s="96">
        <f>'15. Facility 4 Custom Hiring'!K49</f>
        <v>0</v>
      </c>
    </row>
    <row r="22" spans="1:8">
      <c r="A22" s="95" t="str">
        <f t="shared" si="1"/>
        <v>Faclitiy 5 - Agri Input Centre</v>
      </c>
      <c r="B22" s="96">
        <f>'16.Facility 5 Agri Input'!D262</f>
        <v>43388929.126400001</v>
      </c>
      <c r="C22" s="96">
        <f>'16.Facility 5 Agri Input'!E262</f>
        <v>51177893.212160006</v>
      </c>
      <c r="D22" s="96">
        <f>'16.Facility 5 Agri Input'!F262</f>
        <v>57587331.943680011</v>
      </c>
      <c r="E22" s="96">
        <f>'16.Facility 5 Agri Input'!G262</f>
        <v>64509769.815321639</v>
      </c>
      <c r="F22" s="96">
        <f>'16.Facility 5 Agri Input'!H262</f>
        <v>71980483.1442682</v>
      </c>
      <c r="G22" s="96">
        <f>'16.Facility 5 Agri Input'!I262</f>
        <v>80036993.381571114</v>
      </c>
      <c r="H22" s="96">
        <f>'16.Facility 5 Agri Input'!J262</f>
        <v>88719203.434743658</v>
      </c>
    </row>
    <row r="23" spans="1:8">
      <c r="A23" s="95" t="str">
        <f t="shared" si="1"/>
        <v>Facility 6 - Processing Unit - Horti Commodity</v>
      </c>
      <c r="B23" s="96">
        <f>'14. Facility 3 Warehouse'!D37</f>
        <v>150000</v>
      </c>
      <c r="C23" s="96">
        <f>'17.Facility 6 Horti Processing '!E146</f>
        <v>-23203.085400000011</v>
      </c>
      <c r="D23" s="96">
        <f>'17.Facility 6 Horti Processing '!F146</f>
        <v>-25422.510959999985</v>
      </c>
      <c r="E23" s="96">
        <f>'17.Facility 6 Horti Processing '!G146</f>
        <v>-27805.871362500009</v>
      </c>
      <c r="F23" s="96">
        <f>'17.Facility 6 Horti Processing '!H146</f>
        <v>-30364.011527850031</v>
      </c>
      <c r="G23" s="96">
        <f>'17.Facility 6 Horti Processing '!I146</f>
        <v>-33108.45103132879</v>
      </c>
      <c r="H23" s="96">
        <f>'17.Facility 6 Horti Processing '!J146</f>
        <v>-36051.424456335721</v>
      </c>
    </row>
    <row r="24" spans="1:8">
      <c r="A24" s="95"/>
      <c r="B24" s="96"/>
      <c r="C24" s="96"/>
      <c r="D24" s="96"/>
      <c r="E24" s="96"/>
      <c r="F24" s="96"/>
      <c r="G24" s="96"/>
      <c r="H24" s="96"/>
    </row>
    <row r="25" spans="1:8">
      <c r="A25" s="97" t="s">
        <v>326</v>
      </c>
      <c r="B25" s="115">
        <f>SUM(B18:B24)</f>
        <v>59120859.446400002</v>
      </c>
      <c r="C25" s="115">
        <f t="shared" ref="C25:H25" si="2">SUM(C18:C24)</f>
        <v>70180936.77452001</v>
      </c>
      <c r="D25" s="115">
        <f t="shared" si="2"/>
        <v>79624539.866256014</v>
      </c>
      <c r="E25" s="115">
        <f t="shared" si="2"/>
        <v>89837050.925229341</v>
      </c>
      <c r="F25" s="115">
        <f t="shared" si="2"/>
        <v>100871751.74043433</v>
      </c>
      <c r="G25" s="115">
        <f t="shared" si="2"/>
        <v>112785330.00984676</v>
      </c>
      <c r="H25" s="115">
        <f t="shared" si="2"/>
        <v>125638086.72684935</v>
      </c>
    </row>
    <row r="26" spans="1:8">
      <c r="A26" s="95"/>
      <c r="B26" s="96"/>
      <c r="C26" s="96"/>
      <c r="D26" s="96"/>
      <c r="E26" s="96"/>
      <c r="F26" s="96"/>
      <c r="G26" s="96"/>
      <c r="H26" s="96"/>
    </row>
    <row r="27" spans="1:8">
      <c r="A27" s="97" t="s">
        <v>313</v>
      </c>
      <c r="B27" s="96"/>
      <c r="C27" s="96"/>
      <c r="D27" s="96"/>
      <c r="E27" s="96"/>
      <c r="F27" s="96"/>
      <c r="G27" s="96"/>
      <c r="H27" s="96"/>
    </row>
    <row r="28" spans="1:8">
      <c r="A28" s="95" t="str">
        <f t="shared" ref="A28:A33" si="3">A18</f>
        <v>Faclitiy 1 - Cleaning &amp; Grading</v>
      </c>
      <c r="B28" s="96">
        <f>'12.Facility 1 - Trading'!D298</f>
        <v>210000</v>
      </c>
      <c r="C28" s="96">
        <f>'12.Facility 1 - Trading'!E298</f>
        <v>223500</v>
      </c>
      <c r="D28" s="96">
        <f>'12.Facility 1 - Trading'!F298</f>
        <v>237975</v>
      </c>
      <c r="E28" s="96">
        <f>'12.Facility 1 - Trading'!G298</f>
        <v>253503.75000000003</v>
      </c>
      <c r="F28" s="96">
        <f>'12.Facility 1 - Trading'!H298</f>
        <v>270171.9375</v>
      </c>
      <c r="G28" s="96">
        <f>'12.Facility 1 - Trading'!I298</f>
        <v>288072.83437500009</v>
      </c>
      <c r="H28" s="96">
        <f>'12.Facility 1 - Trading'!J298</f>
        <v>307308.00609375007</v>
      </c>
    </row>
    <row r="29" spans="1:8">
      <c r="A29" s="95" t="str">
        <f t="shared" si="3"/>
        <v>Faclitiy 2 - Processing Unit- Dal Mill</v>
      </c>
      <c r="B29" s="96">
        <f>'13.Facility 2 Grain Processing'!D177</f>
        <v>126000</v>
      </c>
      <c r="C29" s="96">
        <f>'13.Facility 2 Grain Processing'!E177</f>
        <v>132300</v>
      </c>
      <c r="D29" s="96">
        <f>'13.Facility 2 Grain Processing'!F177</f>
        <v>138915</v>
      </c>
      <c r="E29" s="96">
        <f>'13.Facility 2 Grain Processing'!G177</f>
        <v>145860.75000000003</v>
      </c>
      <c r="F29" s="96">
        <f>'13.Facility 2 Grain Processing'!H177</f>
        <v>153153.78750000003</v>
      </c>
      <c r="G29" s="96">
        <f>'13.Facility 2 Grain Processing'!I177</f>
        <v>160811.47687500005</v>
      </c>
      <c r="H29" s="96">
        <f>'13.Facility 2 Grain Processing'!J177</f>
        <v>168852.05071875005</v>
      </c>
    </row>
    <row r="30" spans="1:8">
      <c r="A30" s="95" t="str">
        <f t="shared" si="3"/>
        <v>Faclitiy 3 - Warehouse</v>
      </c>
      <c r="B30" s="96">
        <f>'14. Facility 3 Warehouse'!D41</f>
        <v>150000</v>
      </c>
      <c r="C30" s="96">
        <f>'14. Facility 3 Warehouse'!E41</f>
        <v>157500</v>
      </c>
      <c r="D30" s="96">
        <f>'14. Facility 3 Warehouse'!F41</f>
        <v>165375</v>
      </c>
      <c r="E30" s="96">
        <f>'14. Facility 3 Warehouse'!G41</f>
        <v>173643.75000000003</v>
      </c>
      <c r="F30" s="96">
        <f>'14. Facility 3 Warehouse'!H41</f>
        <v>182325.93750000006</v>
      </c>
      <c r="G30" s="96">
        <f>'14. Facility 3 Warehouse'!I41</f>
        <v>191442.23437500006</v>
      </c>
      <c r="H30" s="96">
        <f>'14. Facility 3 Warehouse'!J41</f>
        <v>201014.34609375009</v>
      </c>
    </row>
    <row r="31" spans="1:8">
      <c r="A31" s="95" t="str">
        <f t="shared" si="3"/>
        <v xml:space="preserve">Faclitiy 4 - Custom Hiring </v>
      </c>
      <c r="B31" s="96">
        <f>'15. Facility 4 Custom Hiring'!E56</f>
        <v>0</v>
      </c>
      <c r="C31" s="96">
        <f>'15. Facility 4 Custom Hiring'!F56</f>
        <v>0</v>
      </c>
      <c r="D31" s="96">
        <f>'15. Facility 4 Custom Hiring'!G56</f>
        <v>0</v>
      </c>
      <c r="E31" s="96">
        <f>'15. Facility 4 Custom Hiring'!H56</f>
        <v>0</v>
      </c>
      <c r="F31" s="96">
        <f>'15. Facility 4 Custom Hiring'!I56</f>
        <v>0</v>
      </c>
      <c r="G31" s="96">
        <f>'15. Facility 4 Custom Hiring'!J56</f>
        <v>0</v>
      </c>
      <c r="H31" s="96">
        <f>'15. Facility 4 Custom Hiring'!K56</f>
        <v>0</v>
      </c>
    </row>
    <row r="32" spans="1:8">
      <c r="A32" s="95" t="str">
        <f t="shared" si="3"/>
        <v>Faclitiy 5 - Agri Input Centre</v>
      </c>
      <c r="B32" s="96">
        <f>'16.Facility 5 Agri Input'!D273</f>
        <v>276000</v>
      </c>
      <c r="C32" s="96">
        <f>'16.Facility 5 Agri Input'!E273</f>
        <v>289800</v>
      </c>
      <c r="D32" s="96">
        <f>'16.Facility 5 Agri Input'!F273</f>
        <v>304290</v>
      </c>
      <c r="E32" s="96">
        <f>'16.Facility 5 Agri Input'!G273</f>
        <v>319504.50000000006</v>
      </c>
      <c r="F32" s="96">
        <f>'16.Facility 5 Agri Input'!H273</f>
        <v>335479.72500000003</v>
      </c>
      <c r="G32" s="96">
        <f>'16.Facility 5 Agri Input'!I273</f>
        <v>352253.71125000005</v>
      </c>
      <c r="H32" s="96">
        <f>'16.Facility 5 Agri Input'!J273</f>
        <v>369866.39681250014</v>
      </c>
    </row>
    <row r="33" spans="1:10">
      <c r="A33" s="95" t="str">
        <f t="shared" si="3"/>
        <v>Facility 6 - Processing Unit - Horti Commodity</v>
      </c>
      <c r="B33" s="96">
        <f>'17.Facility 6 Horti Processing '!D154</f>
        <v>186000</v>
      </c>
      <c r="C33" s="96">
        <f>'17.Facility 6 Horti Processing '!E154</f>
        <v>195300</v>
      </c>
      <c r="D33" s="96">
        <f>'17.Facility 6 Horti Processing '!F154</f>
        <v>205065</v>
      </c>
      <c r="E33" s="96">
        <f>'17.Facility 6 Horti Processing '!G154</f>
        <v>215318.25000000006</v>
      </c>
      <c r="F33" s="96">
        <f>'17.Facility 6 Horti Processing '!H154</f>
        <v>226084.16250000003</v>
      </c>
      <c r="G33" s="96">
        <f>'17.Facility 6 Horti Processing '!I154</f>
        <v>237388.37062500004</v>
      </c>
      <c r="H33" s="96">
        <f>'17.Facility 6 Horti Processing '!J154</f>
        <v>249257.78915625007</v>
      </c>
    </row>
    <row r="34" spans="1:10">
      <c r="A34" s="95"/>
      <c r="B34" s="96"/>
      <c r="C34" s="96"/>
      <c r="D34" s="96"/>
      <c r="E34" s="96"/>
      <c r="F34" s="96"/>
      <c r="G34" s="96"/>
      <c r="H34" s="96"/>
    </row>
    <row r="35" spans="1:10">
      <c r="A35" s="95" t="s">
        <v>9</v>
      </c>
      <c r="B35" s="96">
        <f>'3.Other Exp &amp; Taxes'!E23</f>
        <v>3893050</v>
      </c>
      <c r="C35" s="96">
        <f>'3.Other Exp &amp; Taxes'!F23</f>
        <v>4087702.5</v>
      </c>
      <c r="D35" s="96">
        <f>'3.Other Exp &amp; Taxes'!G23</f>
        <v>4292087.625</v>
      </c>
      <c r="E35" s="96">
        <f>'3.Other Exp &amp; Taxes'!H23</f>
        <v>4506692.0062500006</v>
      </c>
      <c r="F35" s="96">
        <f>'3.Other Exp &amp; Taxes'!I23</f>
        <v>4732026.6065625008</v>
      </c>
      <c r="G35" s="96">
        <f>'3.Other Exp &amp; Taxes'!J23</f>
        <v>4968627.9368906263</v>
      </c>
      <c r="H35" s="96">
        <f>'3.Other Exp &amp; Taxes'!K23</f>
        <v>4493407.6877976572</v>
      </c>
    </row>
    <row r="36" spans="1:10">
      <c r="A36" s="97" t="s">
        <v>330</v>
      </c>
      <c r="B36" s="115">
        <f t="shared" ref="B36:H36" si="4">SUM(B28:B35)</f>
        <v>4841050</v>
      </c>
      <c r="C36" s="115">
        <f t="shared" si="4"/>
        <v>5086102.5</v>
      </c>
      <c r="D36" s="115">
        <f t="shared" si="4"/>
        <v>5343707.625</v>
      </c>
      <c r="E36" s="115">
        <f t="shared" si="4"/>
        <v>5614523.0062500006</v>
      </c>
      <c r="F36" s="115">
        <f t="shared" si="4"/>
        <v>5899242.1565625016</v>
      </c>
      <c r="G36" s="115">
        <f t="shared" si="4"/>
        <v>6198596.5643906267</v>
      </c>
      <c r="H36" s="115">
        <f t="shared" si="4"/>
        <v>5789706.2766726576</v>
      </c>
    </row>
    <row r="37" spans="1:10">
      <c r="A37" s="95"/>
      <c r="B37" s="96"/>
      <c r="C37" s="96"/>
      <c r="D37" s="96"/>
      <c r="E37" s="96"/>
      <c r="F37" s="96"/>
      <c r="G37" s="96"/>
      <c r="H37" s="96"/>
    </row>
    <row r="38" spans="1:10">
      <c r="A38" s="97" t="s">
        <v>335</v>
      </c>
      <c r="B38" s="115">
        <f t="shared" ref="B38:H38" si="5">B25+B36</f>
        <v>63961909.446400002</v>
      </c>
      <c r="C38" s="115">
        <f t="shared" si="5"/>
        <v>75267039.27452001</v>
      </c>
      <c r="D38" s="115">
        <f t="shared" si="5"/>
        <v>84968247.491256014</v>
      </c>
      <c r="E38" s="115">
        <f t="shared" si="5"/>
        <v>95451573.931479335</v>
      </c>
      <c r="F38" s="115">
        <f t="shared" si="5"/>
        <v>106770993.89699684</v>
      </c>
      <c r="G38" s="115">
        <f t="shared" si="5"/>
        <v>118983926.57423739</v>
      </c>
      <c r="H38" s="115">
        <f t="shared" si="5"/>
        <v>131427793.00352201</v>
      </c>
    </row>
    <row r="39" spans="1:10">
      <c r="A39" s="95"/>
      <c r="B39" s="96"/>
      <c r="C39" s="96"/>
      <c r="D39" s="96"/>
      <c r="E39" s="96"/>
      <c r="F39" s="96"/>
      <c r="G39" s="96"/>
      <c r="H39" s="96"/>
    </row>
    <row r="40" spans="1:10">
      <c r="A40" s="97" t="s">
        <v>137</v>
      </c>
      <c r="B40" s="115">
        <f t="shared" ref="B40:H40" si="6">B15-B38</f>
        <v>5778886.4335999936</v>
      </c>
      <c r="C40" s="115">
        <f t="shared" si="6"/>
        <v>8139821.7776799798</v>
      </c>
      <c r="D40" s="115">
        <f t="shared" si="6"/>
        <v>9873941.4861540198</v>
      </c>
      <c r="E40" s="115">
        <f t="shared" si="6"/>
        <v>11760958.611031204</v>
      </c>
      <c r="F40" s="115">
        <f t="shared" si="6"/>
        <v>13811811.094680741</v>
      </c>
      <c r="G40" s="115">
        <f t="shared" si="6"/>
        <v>15862019.924542651</v>
      </c>
      <c r="H40" s="115">
        <f t="shared" si="6"/>
        <v>18806152.140591532</v>
      </c>
      <c r="J40" s="67">
        <f>B49+B42+B43</f>
        <v>4397134.4424985638</v>
      </c>
    </row>
    <row r="41" spans="1:10">
      <c r="A41" s="95"/>
      <c r="B41" s="96"/>
      <c r="C41" s="96"/>
      <c r="D41" s="96"/>
      <c r="E41" s="96"/>
      <c r="F41" s="96"/>
      <c r="G41" s="96"/>
      <c r="H41" s="96"/>
      <c r="J41">
        <f>'5.Closing Stock &amp; W Capital'!E56</f>
        <v>1108176.9546158903</v>
      </c>
    </row>
    <row r="42" spans="1:10">
      <c r="A42" s="99" t="s">
        <v>17</v>
      </c>
      <c r="B42" s="96">
        <f>'3.Other Exp &amp; Taxes'!C64</f>
        <v>1185445.3676999998</v>
      </c>
      <c r="C42" s="96">
        <f>'3.Other Exp &amp; Taxes'!D64</f>
        <v>1185445.3676999998</v>
      </c>
      <c r="D42" s="96">
        <f>'3.Other Exp &amp; Taxes'!E64</f>
        <v>1185445.3676999998</v>
      </c>
      <c r="E42" s="96">
        <f>'3.Other Exp &amp; Taxes'!F64</f>
        <v>1185445.3676999998</v>
      </c>
      <c r="F42" s="96">
        <f>'3.Other Exp &amp; Taxes'!G64</f>
        <v>1185445.3676999998</v>
      </c>
      <c r="G42" s="96">
        <f>'3.Other Exp &amp; Taxes'!H64</f>
        <v>1185445.3676999998</v>
      </c>
      <c r="H42" s="96">
        <f>'3.Other Exp &amp; Taxes'!I64</f>
        <v>1185445.3676999998</v>
      </c>
      <c r="J42" s="67">
        <f>J40+J41</f>
        <v>5505311.3971144538</v>
      </c>
    </row>
    <row r="43" spans="1:10">
      <c r="A43" s="99" t="s">
        <v>138</v>
      </c>
      <c r="B43" s="96">
        <f>'3.Other Exp &amp; Taxes'!C84</f>
        <v>315408.8</v>
      </c>
      <c r="C43" s="96">
        <f>'3.Other Exp &amp; Taxes'!D84</f>
        <v>315408.8</v>
      </c>
      <c r="D43" s="96">
        <f>'3.Other Exp &amp; Taxes'!E84</f>
        <v>315408.8</v>
      </c>
      <c r="E43" s="96">
        <f>'3.Other Exp &amp; Taxes'!F84</f>
        <v>315408.8</v>
      </c>
      <c r="F43" s="96">
        <f>'3.Other Exp &amp; Taxes'!G84</f>
        <v>315408.8</v>
      </c>
      <c r="G43" s="96">
        <f>'3.Other Exp &amp; Taxes'!H84</f>
        <v>0</v>
      </c>
      <c r="H43" s="96">
        <f>'3.Other Exp &amp; Taxes'!I84</f>
        <v>0</v>
      </c>
    </row>
    <row r="44" spans="1:10">
      <c r="A44" s="95"/>
      <c r="B44" s="96"/>
      <c r="C44" s="96"/>
      <c r="D44" s="96"/>
      <c r="E44" s="96"/>
      <c r="F44" s="96"/>
      <c r="G44" s="96"/>
      <c r="H44" s="96"/>
    </row>
    <row r="45" spans="1:10">
      <c r="A45" s="97" t="s">
        <v>139</v>
      </c>
      <c r="B45" s="115">
        <f>B40-B42-B43</f>
        <v>4278032.2658999944</v>
      </c>
      <c r="C45" s="115">
        <f t="shared" ref="C45:H45" si="7">C40-C42-C43</f>
        <v>6638967.6099799806</v>
      </c>
      <c r="D45" s="115">
        <f t="shared" si="7"/>
        <v>8373087.3184540207</v>
      </c>
      <c r="E45" s="115">
        <f t="shared" si="7"/>
        <v>10260104.443331204</v>
      </c>
      <c r="F45" s="115">
        <f t="shared" si="7"/>
        <v>12310956.926980741</v>
      </c>
      <c r="G45" s="115">
        <f t="shared" si="7"/>
        <v>14676574.556842651</v>
      </c>
      <c r="H45" s="115">
        <f t="shared" si="7"/>
        <v>17620706.772891533</v>
      </c>
    </row>
    <row r="46" spans="1:10">
      <c r="A46" s="95"/>
      <c r="B46" s="96"/>
      <c r="C46" s="96"/>
      <c r="D46" s="96"/>
      <c r="E46" s="96"/>
      <c r="F46" s="96"/>
      <c r="G46" s="96"/>
      <c r="H46" s="96"/>
    </row>
    <row r="47" spans="1:10">
      <c r="A47" s="95" t="s">
        <v>24</v>
      </c>
      <c r="B47" s="96">
        <f>'8.Cash Flow '!C26+'8.Cash Flow '!C28</f>
        <v>1381751.9911014307</v>
      </c>
      <c r="C47" s="96">
        <f>'8.Cash Flow '!D26+'8.Cash Flow '!D28</f>
        <v>1508829.4140901598</v>
      </c>
      <c r="D47" s="96">
        <f>'8.Cash Flow '!E26+'8.Cash Flow '!E28</f>
        <v>1472910.4969388046</v>
      </c>
      <c r="E47" s="96">
        <f>'8.Cash Flow '!F26+'8.Cash Flow '!F28</f>
        <v>1428620.621547017</v>
      </c>
      <c r="F47" s="96">
        <f>'8.Cash Flow '!G26+'8.Cash Flow '!G28</f>
        <v>1374501.2185134641</v>
      </c>
      <c r="G47" s="96">
        <f>'8.Cash Flow '!H26+'8.Cash Flow '!H28</f>
        <v>1308067.915867534</v>
      </c>
      <c r="H47" s="96">
        <f>'8.Cash Flow '!I26+'8.Cash Flow '!I28</f>
        <v>1228132.1629624332</v>
      </c>
    </row>
    <row r="48" spans="1:10">
      <c r="A48" s="95"/>
      <c r="B48" s="96"/>
      <c r="C48" s="96"/>
      <c r="D48" s="96"/>
      <c r="E48" s="96"/>
      <c r="F48" s="96"/>
      <c r="G48" s="96"/>
      <c r="H48" s="96"/>
    </row>
    <row r="49" spans="1:9">
      <c r="A49" s="95" t="s">
        <v>25</v>
      </c>
      <c r="B49" s="96">
        <f>B45-B47</f>
        <v>2896280.2747985637</v>
      </c>
      <c r="C49" s="96">
        <f t="shared" ref="C49:H49" si="8">C45-C47</f>
        <v>5130138.1958898213</v>
      </c>
      <c r="D49" s="96">
        <f t="shared" si="8"/>
        <v>6900176.8215152156</v>
      </c>
      <c r="E49" s="96">
        <f t="shared" si="8"/>
        <v>8831483.8217841871</v>
      </c>
      <c r="F49" s="96">
        <f t="shared" si="8"/>
        <v>10936455.708467277</v>
      </c>
      <c r="G49" s="96">
        <f t="shared" si="8"/>
        <v>13368506.640975118</v>
      </c>
      <c r="H49" s="96">
        <f t="shared" si="8"/>
        <v>16392574.6099291</v>
      </c>
    </row>
    <row r="50" spans="1:9">
      <c r="A50" s="95" t="s">
        <v>26</v>
      </c>
      <c r="B50" s="96">
        <f>'3.Other Exp &amp; Taxes'!B97</f>
        <v>164831.5610496265</v>
      </c>
      <c r="C50" s="96">
        <f>'3.Other Exp &amp; Taxes'!C97</f>
        <v>846729.46113335341</v>
      </c>
      <c r="D50" s="96">
        <f>'3.Other Exp &amp; Taxes'!D97</f>
        <v>1396206.8908359557</v>
      </c>
      <c r="E50" s="96">
        <f>'3.Other Exp &amp; Taxes'!E97</f>
        <v>1977227.0851668885</v>
      </c>
      <c r="F50" s="96">
        <f>'3.Other Exp &amp; Taxes'!F97</f>
        <v>2594270.8795756418</v>
      </c>
      <c r="G50" s="96">
        <f>'3.Other Exp &amp; Taxes'!G97</f>
        <v>3288325.0674925279</v>
      </c>
      <c r="H50" s="96">
        <f>'3.Other Exp &amp; Taxes'!H97</f>
        <v>4129234.7995226169</v>
      </c>
    </row>
    <row r="51" spans="1:9">
      <c r="A51" s="97" t="s">
        <v>28</v>
      </c>
      <c r="B51" s="96">
        <f>B49-B50</f>
        <v>2731448.713748937</v>
      </c>
      <c r="C51" s="96">
        <f>C49-C50</f>
        <v>4283408.7347564679</v>
      </c>
      <c r="D51" s="96">
        <f>D49-D50</f>
        <v>5503969.9306792598</v>
      </c>
      <c r="E51" s="96">
        <f>E49-E50</f>
        <v>6854256.7366172988</v>
      </c>
      <c r="F51" s="96">
        <f>F49-F50</f>
        <v>8342184.8288916349</v>
      </c>
      <c r="G51" s="96">
        <f t="shared" ref="G51:H51" si="9">G49-G50</f>
        <v>10080181.57348259</v>
      </c>
      <c r="H51" s="96">
        <f t="shared" si="9"/>
        <v>12263339.810406484</v>
      </c>
    </row>
    <row r="52" spans="1:9">
      <c r="A52" s="94"/>
      <c r="B52" s="112"/>
      <c r="C52" s="112"/>
      <c r="D52" s="112"/>
      <c r="E52" s="112"/>
      <c r="F52" s="112"/>
      <c r="G52" s="112"/>
      <c r="H52" s="112"/>
    </row>
    <row r="53" spans="1:9">
      <c r="A53" s="94" t="s">
        <v>529</v>
      </c>
      <c r="B53" s="112">
        <f>B51</f>
        <v>2731448.713748937</v>
      </c>
      <c r="C53" s="112">
        <f t="shared" ref="C53:H53" si="10">B53+C51</f>
        <v>7014857.4485054053</v>
      </c>
      <c r="D53" s="112">
        <f t="shared" si="10"/>
        <v>12518827.379184665</v>
      </c>
      <c r="E53" s="112">
        <f t="shared" si="10"/>
        <v>19373084.115801964</v>
      </c>
      <c r="F53" s="112">
        <f t="shared" si="10"/>
        <v>27715268.944693599</v>
      </c>
      <c r="G53" s="112">
        <f t="shared" si="10"/>
        <v>37795450.518176191</v>
      </c>
      <c r="H53" s="112">
        <f t="shared" si="10"/>
        <v>50058790.328582674</v>
      </c>
    </row>
    <row r="55" spans="1:9" ht="32.450000000000003" customHeight="1">
      <c r="A55" s="466" t="s">
        <v>419</v>
      </c>
      <c r="B55" s="466"/>
      <c r="C55" s="466"/>
      <c r="D55" s="466"/>
      <c r="E55" s="466"/>
      <c r="F55" s="466"/>
      <c r="G55" s="466"/>
      <c r="H55" s="466"/>
      <c r="I55" s="466"/>
    </row>
    <row r="57" spans="1:9">
      <c r="A57" s="276"/>
    </row>
  </sheetData>
  <mergeCells count="2">
    <mergeCell ref="A2:H2"/>
    <mergeCell ref="A55:I55"/>
  </mergeCells>
  <pageMargins left="0.43" right="0.4" top="0.75" bottom="0.75" header="0.3" footer="0.3"/>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9" zoomScale="80" zoomScaleNormal="100" zoomScaleSheetLayoutView="80" workbookViewId="0">
      <selection activeCell="B43" sqref="B43"/>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67"/>
      <c r="B1" s="467"/>
      <c r="C1" s="467"/>
      <c r="D1" s="467"/>
      <c r="E1" s="467"/>
      <c r="F1" s="467"/>
    </row>
    <row r="2" spans="1:18" ht="18.75">
      <c r="A2" s="468" t="s">
        <v>583</v>
      </c>
      <c r="B2" s="436"/>
      <c r="C2" s="436"/>
      <c r="D2" s="436"/>
      <c r="E2" s="436"/>
      <c r="F2" s="436"/>
      <c r="G2" s="436"/>
      <c r="H2" s="436"/>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252</v>
      </c>
      <c r="B8" s="129">
        <f>'8.Cash Flow '!C33</f>
        <v>4906260.9158193022</v>
      </c>
      <c r="C8" s="129">
        <f>'8.Cash Flow '!D33</f>
        <v>9740302.9367733896</v>
      </c>
      <c r="D8" s="129">
        <f>'8.Cash Flow '!E33</f>
        <v>15674394.361721724</v>
      </c>
      <c r="E8" s="129">
        <f>'8.Cash Flow '!F33</f>
        <v>22822976.889036924</v>
      </c>
      <c r="F8" s="129">
        <f>'8.Cash Flow '!G33</f>
        <v>31306469.510858089</v>
      </c>
      <c r="G8" s="129">
        <f>'8.Cash Flow '!H33</f>
        <v>41040125.567324147</v>
      </c>
      <c r="H8" s="129">
        <f>'8.Cash Flow '!I33</f>
        <v>52762647.607098624</v>
      </c>
      <c r="K8" s="68"/>
      <c r="L8" s="68"/>
      <c r="M8" s="68"/>
      <c r="N8" s="68"/>
      <c r="O8" s="68"/>
      <c r="P8" s="68"/>
      <c r="Q8" s="68"/>
      <c r="R8" s="68"/>
    </row>
    <row r="9" spans="1:18">
      <c r="A9" s="130" t="s">
        <v>253</v>
      </c>
      <c r="B9" s="131"/>
      <c r="C9" s="131"/>
      <c r="D9" s="131"/>
      <c r="E9" s="131"/>
      <c r="F9" s="131"/>
      <c r="G9" s="131"/>
      <c r="H9" s="131"/>
      <c r="K9" s="68"/>
      <c r="L9" s="68"/>
      <c r="M9" s="68"/>
      <c r="N9" s="68"/>
      <c r="O9" s="68"/>
      <c r="P9" s="68"/>
      <c r="Q9" s="68"/>
      <c r="R9" s="68"/>
    </row>
    <row r="10" spans="1:18">
      <c r="A10" s="130" t="s">
        <v>622</v>
      </c>
      <c r="B10" s="131"/>
      <c r="C10" s="131"/>
      <c r="D10" s="131"/>
      <c r="E10" s="131"/>
      <c r="F10" s="131"/>
      <c r="G10" s="131"/>
      <c r="H10" s="131"/>
      <c r="K10" s="68"/>
      <c r="L10" s="68"/>
      <c r="M10" s="68"/>
      <c r="N10" s="68"/>
      <c r="O10" s="68"/>
      <c r="P10" s="68"/>
      <c r="Q10" s="68"/>
      <c r="R10" s="68"/>
    </row>
    <row r="11" spans="1:18">
      <c r="A11" s="126" t="s">
        <v>254</v>
      </c>
      <c r="B11" s="129">
        <f t="shared" ref="B11:H11" si="0">SUM(B8:B10)</f>
        <v>4906260.9158193022</v>
      </c>
      <c r="C11" s="129">
        <f t="shared" si="0"/>
        <v>9740302.9367733896</v>
      </c>
      <c r="D11" s="129">
        <f t="shared" si="0"/>
        <v>15674394.361721724</v>
      </c>
      <c r="E11" s="129">
        <f t="shared" si="0"/>
        <v>22822976.889036924</v>
      </c>
      <c r="F11" s="129">
        <f t="shared" si="0"/>
        <v>31306469.510858089</v>
      </c>
      <c r="G11" s="129">
        <f t="shared" si="0"/>
        <v>41040125.567324147</v>
      </c>
      <c r="H11" s="129">
        <f t="shared" si="0"/>
        <v>52762647.607098624</v>
      </c>
    </row>
    <row r="12" spans="1:18">
      <c r="A12" s="126"/>
      <c r="B12" s="131"/>
      <c r="C12" s="131"/>
      <c r="D12" s="131"/>
      <c r="E12" s="131"/>
      <c r="F12" s="131"/>
      <c r="G12" s="131"/>
      <c r="H12" s="131"/>
      <c r="J12" s="68"/>
      <c r="K12" s="68"/>
      <c r="L12" s="68"/>
      <c r="M12" s="68"/>
      <c r="N12" s="68"/>
      <c r="O12" s="68"/>
      <c r="P12" s="68"/>
      <c r="Q12" s="68"/>
    </row>
    <row r="13" spans="1:18">
      <c r="A13" s="132" t="s">
        <v>255</v>
      </c>
      <c r="B13" s="131">
        <f>'3.Other Exp &amp; Taxes'!C63</f>
        <v>31540881</v>
      </c>
      <c r="C13" s="131">
        <f>'3.Other Exp &amp; Taxes'!D63</f>
        <v>30355435.632300001</v>
      </c>
      <c r="D13" s="131">
        <f>'3.Other Exp &amp; Taxes'!E63</f>
        <v>29169990.264600001</v>
      </c>
      <c r="E13" s="131">
        <f>'3.Other Exp &amp; Taxes'!F63</f>
        <v>27984544.896899998</v>
      </c>
      <c r="F13" s="131">
        <f>'3.Other Exp &amp; Taxes'!G63</f>
        <v>26799099.529199999</v>
      </c>
      <c r="G13" s="131">
        <f>'3.Other Exp &amp; Taxes'!H63</f>
        <v>25613654.161499999</v>
      </c>
      <c r="H13" s="131">
        <f>'3.Other Exp &amp; Taxes'!I63</f>
        <v>24428208.793799996</v>
      </c>
    </row>
    <row r="14" spans="1:18">
      <c r="A14" s="132" t="s">
        <v>256</v>
      </c>
      <c r="B14" s="131">
        <f>'3.Other Exp &amp; Taxes'!C64</f>
        <v>1185445.3676999998</v>
      </c>
      <c r="C14" s="131">
        <f>'3.Other Exp &amp; Taxes'!D64</f>
        <v>1185445.3676999998</v>
      </c>
      <c r="D14" s="131">
        <f>'3.Other Exp &amp; Taxes'!E64</f>
        <v>1185445.3676999998</v>
      </c>
      <c r="E14" s="131">
        <f>'3.Other Exp &amp; Taxes'!F64</f>
        <v>1185445.3676999998</v>
      </c>
      <c r="F14" s="131">
        <f>'3.Other Exp &amp; Taxes'!G64</f>
        <v>1185445.3676999998</v>
      </c>
      <c r="G14" s="131">
        <f>'3.Other Exp &amp; Taxes'!H64</f>
        <v>1185445.3676999998</v>
      </c>
      <c r="H14" s="131">
        <f>'3.Other Exp &amp; Taxes'!I64</f>
        <v>1185445.3676999998</v>
      </c>
      <c r="K14" s="68"/>
      <c r="L14" s="68"/>
      <c r="M14" s="68"/>
      <c r="N14" s="68"/>
      <c r="O14" s="68"/>
      <c r="P14" s="68"/>
      <c r="Q14" s="68"/>
    </row>
    <row r="15" spans="1:18" s="55" customFormat="1">
      <c r="A15" s="126" t="s">
        <v>201</v>
      </c>
      <c r="B15" s="129">
        <f t="shared" ref="B15:H15" si="1">B13-B14</f>
        <v>30355435.632300001</v>
      </c>
      <c r="C15" s="129">
        <f t="shared" si="1"/>
        <v>29169990.264600001</v>
      </c>
      <c r="D15" s="129">
        <f t="shared" si="1"/>
        <v>27984544.896900002</v>
      </c>
      <c r="E15" s="129">
        <f t="shared" si="1"/>
        <v>26799099.529199999</v>
      </c>
      <c r="F15" s="129">
        <f t="shared" si="1"/>
        <v>25613654.161499999</v>
      </c>
      <c r="G15" s="129">
        <f t="shared" si="1"/>
        <v>24428208.7938</v>
      </c>
      <c r="H15" s="129">
        <f t="shared" si="1"/>
        <v>23242763.426099997</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531</v>
      </c>
      <c r="B18" s="129">
        <f>'8.Cash Flow '!C20-'6.Cons Profit &amp; Loss'!B43</f>
        <v>1261635.2</v>
      </c>
      <c r="C18" s="129">
        <f>B18-'6.Cons Profit &amp; Loss'!C43</f>
        <v>946226.39999999991</v>
      </c>
      <c r="D18" s="129">
        <f>C18-'6.Cons Profit &amp; Loss'!D43</f>
        <v>630817.59999999986</v>
      </c>
      <c r="E18" s="129">
        <f>D18-'6.Cons Profit &amp; Loss'!E43</f>
        <v>315408.79999999987</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258</v>
      </c>
      <c r="B20" s="134">
        <f t="shared" ref="B20:H20" si="2">B11+B15+B17+B18</f>
        <v>36523331.74811931</v>
      </c>
      <c r="C20" s="134">
        <f t="shared" si="2"/>
        <v>39856519.601373389</v>
      </c>
      <c r="D20" s="134">
        <f t="shared" si="2"/>
        <v>44289756.858621724</v>
      </c>
      <c r="E20" s="134">
        <f t="shared" si="2"/>
        <v>49937485.218236923</v>
      </c>
      <c r="F20" s="134">
        <f t="shared" si="2"/>
        <v>56920123.672358088</v>
      </c>
      <c r="G20" s="134">
        <f t="shared" si="2"/>
        <v>65468334.361124143</v>
      </c>
      <c r="H20" s="134">
        <f t="shared" si="2"/>
        <v>76005411.033198625</v>
      </c>
    </row>
    <row r="21" spans="1:8">
      <c r="A21" s="121"/>
      <c r="B21" s="135"/>
      <c r="C21" s="135"/>
      <c r="D21" s="135"/>
      <c r="E21" s="135"/>
      <c r="F21" s="135"/>
      <c r="G21" s="135"/>
      <c r="H21" s="135"/>
    </row>
    <row r="22" spans="1:8">
      <c r="A22" s="124" t="s">
        <v>259</v>
      </c>
      <c r="B22" s="136"/>
      <c r="C22" s="136"/>
      <c r="D22" s="136"/>
      <c r="E22" s="136"/>
      <c r="F22" s="136"/>
      <c r="G22" s="136"/>
      <c r="H22" s="136"/>
    </row>
    <row r="23" spans="1:8">
      <c r="A23" s="126" t="s">
        <v>260</v>
      </c>
      <c r="B23" s="136"/>
      <c r="C23" s="136"/>
      <c r="D23" s="136"/>
      <c r="E23" s="136"/>
      <c r="F23" s="136"/>
      <c r="G23" s="136"/>
      <c r="H23" s="136"/>
    </row>
    <row r="24" spans="1:8">
      <c r="A24" s="130" t="s">
        <v>261</v>
      </c>
      <c r="B24" s="129"/>
      <c r="C24" s="129"/>
      <c r="D24" s="129"/>
      <c r="E24" s="129"/>
      <c r="F24" s="129"/>
      <c r="G24" s="129"/>
      <c r="H24" s="129"/>
    </row>
    <row r="25" spans="1:8">
      <c r="A25" s="130" t="s">
        <v>262</v>
      </c>
      <c r="B25" s="135"/>
      <c r="C25" s="135"/>
      <c r="D25" s="135"/>
      <c r="E25" s="135"/>
      <c r="F25" s="135"/>
      <c r="G25" s="135"/>
      <c r="H25" s="135"/>
    </row>
    <row r="26" spans="1:8" s="54" customFormat="1">
      <c r="A26" s="130" t="s">
        <v>263</v>
      </c>
      <c r="B26" s="129"/>
      <c r="C26" s="129"/>
      <c r="D26" s="129"/>
      <c r="E26" s="129"/>
      <c r="F26" s="129"/>
      <c r="G26" s="129"/>
      <c r="H26" s="129"/>
    </row>
    <row r="27" spans="1:8" s="54" customFormat="1">
      <c r="A27" s="126" t="s">
        <v>264</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265</v>
      </c>
      <c r="B28" s="134">
        <f>'4.TL repayment sch'!G21</f>
        <v>7845262.3297544718</v>
      </c>
      <c r="C28" s="134">
        <f>'4.TL repayment sch'!G33</f>
        <v>6895041.4482520958</v>
      </c>
      <c r="D28" s="134">
        <f>'4.TL repayment sch'!G45</f>
        <v>5824308.7748211529</v>
      </c>
      <c r="E28" s="134">
        <f>'4.TL repayment sch'!G57</f>
        <v>4617780.3978190469</v>
      </c>
      <c r="F28" s="134">
        <f>'4.TL repayment sch'!G69</f>
        <v>3258234.0230485722</v>
      </c>
      <c r="G28" s="134">
        <f>'4.TL repayment sch'!G81</f>
        <v>1726263.1383320228</v>
      </c>
      <c r="H28" s="134">
        <f>'[1]Term Loan'!J72+'[1]Term Loan'!S72</f>
        <v>0</v>
      </c>
    </row>
    <row r="29" spans="1:8" s="54" customFormat="1">
      <c r="A29" s="126" t="s">
        <v>266</v>
      </c>
      <c r="B29" s="134"/>
      <c r="C29" s="134"/>
      <c r="D29" s="134"/>
      <c r="E29" s="134"/>
      <c r="F29" s="134"/>
      <c r="G29" s="134"/>
      <c r="H29" s="134"/>
    </row>
    <row r="30" spans="1:8" s="54" customFormat="1">
      <c r="A30" s="126"/>
      <c r="B30" s="137"/>
      <c r="C30" s="137"/>
      <c r="D30" s="137"/>
      <c r="E30" s="137"/>
      <c r="F30" s="137"/>
      <c r="G30" s="137"/>
      <c r="H30" s="137"/>
    </row>
    <row r="31" spans="1:8">
      <c r="A31" s="133" t="s">
        <v>267</v>
      </c>
      <c r="B31" s="134">
        <f t="shared" ref="B31:H31" si="4">SUM(B27:B29)</f>
        <v>7845262.3297544718</v>
      </c>
      <c r="C31" s="134">
        <f t="shared" si="4"/>
        <v>6895041.4482520958</v>
      </c>
      <c r="D31" s="134">
        <f t="shared" si="4"/>
        <v>5824308.7748211529</v>
      </c>
      <c r="E31" s="134">
        <f t="shared" si="4"/>
        <v>4617780.3978190469</v>
      </c>
      <c r="F31" s="134">
        <f t="shared" si="4"/>
        <v>3258234.0230485722</v>
      </c>
      <c r="G31" s="134">
        <f t="shared" si="4"/>
        <v>1726263.1383320228</v>
      </c>
      <c r="H31" s="134">
        <f t="shared" si="4"/>
        <v>0</v>
      </c>
    </row>
    <row r="32" spans="1:8">
      <c r="A32" s="121"/>
      <c r="B32" s="138"/>
      <c r="C32" s="138"/>
      <c r="D32" s="138"/>
      <c r="E32" s="138"/>
      <c r="F32" s="138"/>
      <c r="G32" s="138"/>
      <c r="H32" s="138"/>
    </row>
    <row r="33" spans="1:8">
      <c r="A33" s="132" t="s">
        <v>268</v>
      </c>
      <c r="B33" s="131">
        <f>'1.Project Cost and MOF'!E21</f>
        <v>6075865.704615891</v>
      </c>
      <c r="C33" s="131">
        <f>B33</f>
        <v>6075865.704615891</v>
      </c>
      <c r="D33" s="131">
        <f t="shared" ref="D33:H34" si="5">C33</f>
        <v>6075865.704615891</v>
      </c>
      <c r="E33" s="131">
        <f t="shared" si="5"/>
        <v>6075865.704615891</v>
      </c>
      <c r="F33" s="131">
        <f t="shared" si="5"/>
        <v>6075865.704615891</v>
      </c>
      <c r="G33" s="131">
        <f t="shared" si="5"/>
        <v>6075865.704615891</v>
      </c>
      <c r="H33" s="131">
        <f t="shared" si="5"/>
        <v>6075865.704615891</v>
      </c>
    </row>
    <row r="34" spans="1:8">
      <c r="A34" s="132" t="s">
        <v>532</v>
      </c>
      <c r="B34" s="131">
        <f>'1.Project Cost and MOF'!E19</f>
        <v>19870755</v>
      </c>
      <c r="C34" s="131">
        <f>B34</f>
        <v>19870755</v>
      </c>
      <c r="D34" s="131">
        <f t="shared" si="5"/>
        <v>19870755</v>
      </c>
      <c r="E34" s="131">
        <f t="shared" si="5"/>
        <v>19870755</v>
      </c>
      <c r="F34" s="131">
        <f t="shared" si="5"/>
        <v>19870755</v>
      </c>
      <c r="G34" s="131">
        <f t="shared" si="5"/>
        <v>19870755</v>
      </c>
      <c r="H34" s="131">
        <f t="shared" si="5"/>
        <v>19870755</v>
      </c>
    </row>
    <row r="35" spans="1:8">
      <c r="A35" s="126" t="s">
        <v>269</v>
      </c>
      <c r="B35" s="131"/>
      <c r="C35" s="131"/>
      <c r="D35" s="131"/>
      <c r="E35" s="131"/>
      <c r="F35" s="131"/>
      <c r="G35" s="131"/>
      <c r="H35" s="131"/>
    </row>
    <row r="36" spans="1:8">
      <c r="A36" s="132" t="s">
        <v>270</v>
      </c>
      <c r="B36" s="131">
        <v>0</v>
      </c>
      <c r="C36" s="131">
        <f t="shared" ref="C36:H36" si="6">B39</f>
        <v>2731448.713748937</v>
      </c>
      <c r="D36" s="131">
        <f t="shared" si="6"/>
        <v>7014857.4485054053</v>
      </c>
      <c r="E36" s="131">
        <f t="shared" si="6"/>
        <v>12518827.379184665</v>
      </c>
      <c r="F36" s="131">
        <f t="shared" si="6"/>
        <v>19373084.115801964</v>
      </c>
      <c r="G36" s="131">
        <f t="shared" si="6"/>
        <v>27715268.944693599</v>
      </c>
      <c r="H36" s="131">
        <f t="shared" si="6"/>
        <v>37795450.518176191</v>
      </c>
    </row>
    <row r="37" spans="1:8">
      <c r="A37" s="132" t="s">
        <v>271</v>
      </c>
      <c r="B37" s="131">
        <f>'6.Cons Profit &amp; Loss'!B53</f>
        <v>2731448.713748937</v>
      </c>
      <c r="C37" s="131">
        <f>'6.Cons Profit &amp; Loss'!C51</f>
        <v>4283408.7347564679</v>
      </c>
      <c r="D37" s="131">
        <f>'6.Cons Profit &amp; Loss'!D51</f>
        <v>5503969.9306792598</v>
      </c>
      <c r="E37" s="131">
        <f>'6.Cons Profit &amp; Loss'!E51</f>
        <v>6854256.7366172988</v>
      </c>
      <c r="F37" s="131">
        <f>'6.Cons Profit &amp; Loss'!F51</f>
        <v>8342184.8288916349</v>
      </c>
      <c r="G37" s="131">
        <f>'6.Cons Profit &amp; Loss'!G51</f>
        <v>10080181.57348259</v>
      </c>
      <c r="H37" s="131">
        <f>'6.Cons Profit &amp; Loss'!H51</f>
        <v>12263339.810406484</v>
      </c>
    </row>
    <row r="38" spans="1:8">
      <c r="A38" s="132" t="s">
        <v>272</v>
      </c>
      <c r="B38" s="131"/>
      <c r="C38" s="131"/>
      <c r="D38" s="131"/>
      <c r="E38" s="131"/>
      <c r="F38" s="131"/>
      <c r="G38" s="131"/>
      <c r="H38" s="131"/>
    </row>
    <row r="39" spans="1:8">
      <c r="A39" s="132" t="s">
        <v>273</v>
      </c>
      <c r="B39" s="131">
        <f t="shared" ref="B39:H39" si="7">B36+B37-B38</f>
        <v>2731448.713748937</v>
      </c>
      <c r="C39" s="131">
        <f t="shared" si="7"/>
        <v>7014857.4485054053</v>
      </c>
      <c r="D39" s="131">
        <f t="shared" si="7"/>
        <v>12518827.379184665</v>
      </c>
      <c r="E39" s="131">
        <f t="shared" si="7"/>
        <v>19373084.115801964</v>
      </c>
      <c r="F39" s="131">
        <f t="shared" si="7"/>
        <v>27715268.944693599</v>
      </c>
      <c r="G39" s="131">
        <f t="shared" si="7"/>
        <v>37795450.518176191</v>
      </c>
      <c r="H39" s="131">
        <f t="shared" si="7"/>
        <v>50058790.328582674</v>
      </c>
    </row>
    <row r="40" spans="1:8">
      <c r="A40" s="132"/>
      <c r="B40" s="136"/>
      <c r="C40" s="136"/>
      <c r="D40" s="136"/>
      <c r="E40" s="136"/>
      <c r="F40" s="136"/>
      <c r="G40" s="136"/>
      <c r="H40" s="136"/>
    </row>
    <row r="41" spans="1:8">
      <c r="A41" s="139" t="s">
        <v>274</v>
      </c>
      <c r="B41" s="140">
        <f t="shared" ref="B41:H41" si="8">B33+B39+B34</f>
        <v>28678069.41836483</v>
      </c>
      <c r="C41" s="140">
        <f t="shared" si="8"/>
        <v>32961478.153121296</v>
      </c>
      <c r="D41" s="140">
        <f t="shared" si="8"/>
        <v>38465448.083800554</v>
      </c>
      <c r="E41" s="140">
        <f t="shared" si="8"/>
        <v>45319704.820417851</v>
      </c>
      <c r="F41" s="140">
        <f t="shared" si="8"/>
        <v>53661889.649309486</v>
      </c>
      <c r="G41" s="140">
        <f t="shared" si="8"/>
        <v>63742071.222792082</v>
      </c>
      <c r="H41" s="140">
        <f t="shared" si="8"/>
        <v>76005411.033198565</v>
      </c>
    </row>
    <row r="42" spans="1:8">
      <c r="A42" s="121"/>
      <c r="B42" s="131"/>
      <c r="C42" s="131"/>
      <c r="D42" s="131"/>
      <c r="E42" s="131"/>
      <c r="F42" s="131"/>
      <c r="G42" s="131"/>
      <c r="H42" s="131"/>
    </row>
    <row r="43" spans="1:8">
      <c r="A43" s="133" t="s">
        <v>275</v>
      </c>
      <c r="B43" s="134">
        <f t="shared" ref="B43:H43" si="9">B31+B41</f>
        <v>36523331.748119302</v>
      </c>
      <c r="C43" s="134">
        <f t="shared" si="9"/>
        <v>39856519.601373389</v>
      </c>
      <c r="D43" s="134">
        <f t="shared" si="9"/>
        <v>44289756.858621709</v>
      </c>
      <c r="E43" s="134">
        <f t="shared" si="9"/>
        <v>49937485.218236901</v>
      </c>
      <c r="F43" s="134">
        <f t="shared" si="9"/>
        <v>56920123.672358058</v>
      </c>
      <c r="G43" s="134">
        <f t="shared" si="9"/>
        <v>65468334.361124106</v>
      </c>
      <c r="H43" s="134">
        <f t="shared" si="9"/>
        <v>76005411.033198565</v>
      </c>
    </row>
    <row r="44" spans="1:8">
      <c r="A44" s="121"/>
      <c r="B44" s="141"/>
      <c r="C44" s="141"/>
      <c r="D44" s="141"/>
      <c r="E44" s="141"/>
      <c r="F44" s="141"/>
      <c r="G44" s="141"/>
      <c r="H44" s="141"/>
    </row>
    <row r="45" spans="1:8">
      <c r="A45" s="142" t="s">
        <v>276</v>
      </c>
      <c r="B45" s="143"/>
      <c r="C45" s="143"/>
      <c r="D45" s="143"/>
      <c r="E45" s="143"/>
      <c r="F45" s="143"/>
      <c r="G45" s="143"/>
      <c r="H45" s="143"/>
    </row>
    <row r="46" spans="1:8">
      <c r="A46" s="144" t="s">
        <v>277</v>
      </c>
      <c r="B46" s="145">
        <f t="shared" ref="B46:H46" si="10">B43-B20</f>
        <v>0</v>
      </c>
      <c r="C46" s="145">
        <f t="shared" si="10"/>
        <v>0</v>
      </c>
      <c r="D46" s="145">
        <f t="shared" si="10"/>
        <v>0</v>
      </c>
      <c r="E46" s="145">
        <f t="shared" si="10"/>
        <v>0</v>
      </c>
      <c r="F46" s="145">
        <f t="shared" si="10"/>
        <v>0</v>
      </c>
      <c r="G46" s="145">
        <f t="shared" si="10"/>
        <v>0</v>
      </c>
      <c r="H46" s="145">
        <f t="shared" si="10"/>
        <v>0</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58.5" customHeight="1">
      <c r="A50" s="469" t="s">
        <v>420</v>
      </c>
      <c r="B50" s="470"/>
      <c r="C50" s="470"/>
      <c r="D50" s="470"/>
      <c r="E50" s="470"/>
      <c r="F50" s="470"/>
      <c r="G50" s="470"/>
      <c r="H50" s="470"/>
      <c r="I50" s="470"/>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23" zoomScale="80" zoomScaleNormal="100" zoomScaleSheetLayoutView="80" workbookViewId="0">
      <selection activeCell="P52" sqref="P52"/>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67"/>
      <c r="B1" s="467"/>
      <c r="C1" s="467"/>
      <c r="D1" s="467"/>
      <c r="E1" s="467"/>
      <c r="F1" s="467"/>
      <c r="G1" s="467"/>
    </row>
    <row r="2" spans="1:10" ht="18.75">
      <c r="A2" s="436" t="s">
        <v>584</v>
      </c>
      <c r="B2" s="436"/>
      <c r="C2" s="436"/>
      <c r="D2" s="436"/>
      <c r="E2" s="436"/>
      <c r="F2" s="436"/>
      <c r="G2" s="436"/>
      <c r="H2" s="436"/>
      <c r="I2" s="436"/>
      <c r="J2" s="84"/>
    </row>
    <row r="4" spans="1:10">
      <c r="A4" s="58" t="s">
        <v>233</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373</v>
      </c>
      <c r="C6" s="41">
        <f>'6.Cons Profit &amp; Loss'!B15</f>
        <v>69740795.879999995</v>
      </c>
      <c r="D6" s="41">
        <f>'6.Cons Profit &amp; Loss'!C15</f>
        <v>83406861.05219999</v>
      </c>
      <c r="E6" s="41">
        <f>'6.Cons Profit &amp; Loss'!D15</f>
        <v>94842188.977410033</v>
      </c>
      <c r="F6" s="41">
        <f>'6.Cons Profit &amp; Loss'!E15</f>
        <v>107212532.54251054</v>
      </c>
      <c r="G6" s="41">
        <f>'6.Cons Profit &amp; Loss'!F15</f>
        <v>120582804.99167758</v>
      </c>
      <c r="H6" s="41">
        <f>'6.Cons Profit &amp; Loss'!G15</f>
        <v>134845946.49878004</v>
      </c>
      <c r="I6" s="41">
        <f>'6.Cons Profit &amp; Loss'!H15</f>
        <v>150233945.14411354</v>
      </c>
    </row>
    <row r="7" spans="1:10">
      <c r="A7" s="40">
        <v>2</v>
      </c>
      <c r="B7" s="40" t="s">
        <v>234</v>
      </c>
      <c r="C7" s="41">
        <f>'1.Project Cost and MOF'!E21</f>
        <v>6075865.704615891</v>
      </c>
      <c r="D7" s="41"/>
      <c r="E7" s="41"/>
      <c r="F7" s="41"/>
      <c r="G7" s="41"/>
      <c r="H7" s="41"/>
      <c r="I7" s="41"/>
    </row>
    <row r="8" spans="1:10">
      <c r="A8" s="40"/>
      <c r="B8" s="40" t="s">
        <v>295</v>
      </c>
      <c r="C8" s="41"/>
      <c r="D8" s="41"/>
      <c r="E8" s="41"/>
      <c r="F8" s="41"/>
      <c r="G8" s="41"/>
      <c r="H8" s="41"/>
      <c r="I8" s="41"/>
    </row>
    <row r="9" spans="1:10">
      <c r="A9" s="40">
        <v>3</v>
      </c>
      <c r="B9" s="40" t="str">
        <f>'7.Balance Sheet'!A34</f>
        <v>Smart Grant -in-Aid</v>
      </c>
      <c r="C9" s="41">
        <f>'1.Project Cost and MOF'!E19</f>
        <v>19870755</v>
      </c>
      <c r="D9" s="41"/>
      <c r="E9" s="41"/>
      <c r="F9" s="41"/>
      <c r="G9" s="41"/>
      <c r="H9" s="41"/>
      <c r="I9" s="41"/>
    </row>
    <row r="10" spans="1:10">
      <c r="A10" s="40">
        <v>4</v>
      </c>
      <c r="B10" s="40" t="s">
        <v>235</v>
      </c>
      <c r="C10" s="41">
        <f>'1.Project Cost and MOF'!E20</f>
        <v>8279481.25</v>
      </c>
      <c r="D10" s="41"/>
      <c r="E10" s="41"/>
      <c r="F10" s="41"/>
      <c r="G10" s="41"/>
      <c r="H10" s="41"/>
      <c r="I10" s="41"/>
    </row>
    <row r="11" spans="1:10">
      <c r="A11" s="40">
        <v>5</v>
      </c>
      <c r="B11" s="40" t="s">
        <v>236</v>
      </c>
      <c r="C11" s="41">
        <f>'5.Closing Stock &amp; W Capital'!E55*75%</f>
        <v>3324530.8638476711</v>
      </c>
      <c r="D11" s="41">
        <f>'5.Closing Stock &amp; W Capital'!F55</f>
        <v>5154446.9185171518</v>
      </c>
      <c r="E11" s="41">
        <f>'5.Closing Stock &amp; W Capital'!G55</f>
        <v>5859387.5416605715</v>
      </c>
      <c r="F11" s="41">
        <f>'5.Closing Stock &amp; W Capital'!H55</f>
        <v>6621936.1098220414</v>
      </c>
      <c r="G11" s="41">
        <f>'5.Closing Stock &amp; W Capital'!I55</f>
        <v>7446091.0659455042</v>
      </c>
      <c r="H11" s="41">
        <f>'5.Closing Stock &amp; W Capital'!J55</f>
        <v>8329351.1267800499</v>
      </c>
      <c r="I11" s="41">
        <f>'5.Closing Stock &amp; W Capital'!K55</f>
        <v>9282321.966033183</v>
      </c>
    </row>
    <row r="12" spans="1:10">
      <c r="A12" s="40"/>
      <c r="B12" s="40" t="s">
        <v>237</v>
      </c>
      <c r="C12" s="43">
        <f t="shared" ref="C12:I12" si="0">SUM(C6:C11)</f>
        <v>107291428.69846356</v>
      </c>
      <c r="D12" s="43">
        <f t="shared" si="0"/>
        <v>88561307.970717147</v>
      </c>
      <c r="E12" s="43">
        <f t="shared" si="0"/>
        <v>100701576.51907061</v>
      </c>
      <c r="F12" s="43">
        <f t="shared" si="0"/>
        <v>113834468.65233257</v>
      </c>
      <c r="G12" s="43">
        <f t="shared" si="0"/>
        <v>128028896.05762309</v>
      </c>
      <c r="H12" s="43">
        <f t="shared" si="0"/>
        <v>143175297.6255601</v>
      </c>
      <c r="I12" s="43">
        <f t="shared" si="0"/>
        <v>159516267.11014673</v>
      </c>
    </row>
    <row r="13" spans="1:10">
      <c r="A13" s="471" t="s">
        <v>238</v>
      </c>
      <c r="B13" s="471"/>
      <c r="C13" s="44"/>
      <c r="D13" s="44"/>
      <c r="E13" s="44"/>
      <c r="F13" s="44"/>
      <c r="G13" s="44"/>
      <c r="H13" s="44"/>
      <c r="I13" s="44"/>
    </row>
    <row r="14" spans="1:10">
      <c r="A14" s="40">
        <v>1</v>
      </c>
      <c r="B14" s="40" t="s">
        <v>239</v>
      </c>
      <c r="C14" s="44"/>
      <c r="D14" s="44"/>
      <c r="E14" s="44"/>
      <c r="F14" s="44"/>
      <c r="G14" s="44"/>
      <c r="H14" s="44"/>
      <c r="I14" s="44"/>
    </row>
    <row r="15" spans="1:10">
      <c r="A15" s="45" t="s">
        <v>240</v>
      </c>
      <c r="B15" s="44" t="str">
        <f>'[1]Total Cost of Project'!C3</f>
        <v>Land and Building</v>
      </c>
      <c r="C15" s="46">
        <f>'1.Project Cost and MOF'!D5</f>
        <v>25667481</v>
      </c>
      <c r="D15" s="46"/>
      <c r="E15" s="46"/>
      <c r="F15" s="46"/>
      <c r="G15" s="46"/>
      <c r="H15" s="46"/>
      <c r="I15" s="46"/>
    </row>
    <row r="16" spans="1:10">
      <c r="A16" s="45" t="s">
        <v>241</v>
      </c>
      <c r="B16" s="47" t="str">
        <f>'[1]Total Cost of Project'!C4</f>
        <v>Machinery and Equipment</v>
      </c>
      <c r="C16" s="46">
        <f>'1.Project Cost and MOF'!D6</f>
        <v>5873400</v>
      </c>
      <c r="D16" s="46"/>
      <c r="E16" s="46"/>
      <c r="F16" s="46"/>
      <c r="G16" s="46"/>
      <c r="H16" s="46"/>
      <c r="I16" s="46"/>
    </row>
    <row r="17" spans="1:9">
      <c r="A17" s="45" t="s">
        <v>278</v>
      </c>
      <c r="B17" s="47" t="s">
        <v>337</v>
      </c>
      <c r="C17" s="46">
        <f>'1.Project Cost and MOF'!D7</f>
        <v>0</v>
      </c>
      <c r="D17" s="46"/>
      <c r="E17" s="46"/>
      <c r="F17" s="46"/>
      <c r="G17" s="46"/>
      <c r="H17" s="46"/>
      <c r="I17" s="46"/>
    </row>
    <row r="18" spans="1:9">
      <c r="A18" s="45" t="s">
        <v>280</v>
      </c>
      <c r="B18" s="47" t="s">
        <v>339</v>
      </c>
      <c r="C18" s="46">
        <f>'1.Project Cost and MOF'!D8</f>
        <v>0</v>
      </c>
      <c r="D18" s="46"/>
      <c r="E18" s="46"/>
      <c r="F18" s="46"/>
      <c r="G18" s="46"/>
      <c r="H18" s="46"/>
      <c r="I18" s="46"/>
    </row>
    <row r="19" spans="1:9">
      <c r="A19" s="45" t="s">
        <v>340</v>
      </c>
      <c r="B19" s="47" t="s">
        <v>279</v>
      </c>
      <c r="C19" s="46">
        <f>'1.Project Cost and MOF'!D9</f>
        <v>0</v>
      </c>
      <c r="D19" s="41"/>
      <c r="E19" s="41"/>
      <c r="F19" s="41"/>
      <c r="G19" s="41"/>
      <c r="H19" s="41"/>
      <c r="I19" s="41"/>
    </row>
    <row r="20" spans="1:9">
      <c r="A20" s="45" t="s">
        <v>341</v>
      </c>
      <c r="B20" s="47" t="s">
        <v>281</v>
      </c>
      <c r="C20" s="46">
        <f>'1.Project Cost and MOF'!D10</f>
        <v>1577044</v>
      </c>
      <c r="D20" s="41"/>
      <c r="E20" s="41"/>
      <c r="F20" s="41"/>
      <c r="G20" s="41"/>
      <c r="H20" s="41"/>
      <c r="I20" s="41"/>
    </row>
    <row r="21" spans="1:9">
      <c r="A21" s="40">
        <v>2</v>
      </c>
      <c r="B21" s="40" t="s">
        <v>242</v>
      </c>
      <c r="C21" s="44"/>
      <c r="D21" s="44"/>
      <c r="E21" s="44"/>
      <c r="F21" s="44"/>
      <c r="G21" s="44"/>
      <c r="H21" s="44"/>
      <c r="I21" s="44"/>
    </row>
    <row r="22" spans="1:9">
      <c r="A22" s="45" t="s">
        <v>240</v>
      </c>
      <c r="B22" s="44" t="s">
        <v>315</v>
      </c>
      <c r="C22" s="73">
        <f>'6.Cons Profit &amp; Loss'!B25</f>
        <v>59120859.446400002</v>
      </c>
      <c r="D22" s="73">
        <f>'6.Cons Profit &amp; Loss'!C25</f>
        <v>70180936.77452001</v>
      </c>
      <c r="E22" s="73">
        <f>'6.Cons Profit &amp; Loss'!D25</f>
        <v>79624539.866256014</v>
      </c>
      <c r="F22" s="73">
        <f>'6.Cons Profit &amp; Loss'!E25</f>
        <v>89837050.925229341</v>
      </c>
      <c r="G22" s="73">
        <f>'6.Cons Profit &amp; Loss'!F25</f>
        <v>100871751.74043433</v>
      </c>
      <c r="H22" s="73">
        <f>'6.Cons Profit &amp; Loss'!G25</f>
        <v>112785330.00984676</v>
      </c>
      <c r="I22" s="73">
        <f>'6.Cons Profit &amp; Loss'!H25</f>
        <v>125638086.72684935</v>
      </c>
    </row>
    <row r="23" spans="1:9">
      <c r="A23" s="45" t="s">
        <v>241</v>
      </c>
      <c r="B23" s="44" t="s">
        <v>313</v>
      </c>
      <c r="C23" s="41">
        <f>'6.Cons Profit &amp; Loss'!B36</f>
        <v>4841050</v>
      </c>
      <c r="D23" s="41">
        <f>'6.Cons Profit &amp; Loss'!C36</f>
        <v>5086102.5</v>
      </c>
      <c r="E23" s="41">
        <f>'6.Cons Profit &amp; Loss'!D36</f>
        <v>5343707.625</v>
      </c>
      <c r="F23" s="41">
        <f>'6.Cons Profit &amp; Loss'!E36</f>
        <v>5614523.0062500006</v>
      </c>
      <c r="G23" s="41">
        <f>'6.Cons Profit &amp; Loss'!F36</f>
        <v>5899242.1565625016</v>
      </c>
      <c r="H23" s="41">
        <f>'6.Cons Profit &amp; Loss'!G36</f>
        <v>6198596.5643906267</v>
      </c>
      <c r="I23" s="41">
        <f>'6.Cons Profit &amp; Loss'!H36</f>
        <v>5789706.2766726576</v>
      </c>
    </row>
    <row r="24" spans="1:9">
      <c r="A24" s="48">
        <v>3</v>
      </c>
      <c r="B24" s="40" t="s">
        <v>530</v>
      </c>
      <c r="C24" s="41"/>
      <c r="D24" s="41"/>
      <c r="E24" s="41"/>
      <c r="F24" s="41"/>
      <c r="G24" s="41"/>
      <c r="H24" s="41"/>
      <c r="I24" s="41"/>
    </row>
    <row r="25" spans="1:9">
      <c r="A25" s="45"/>
      <c r="B25" s="44" t="s">
        <v>243</v>
      </c>
      <c r="C25" s="41">
        <f>SUM('4.TL repayment sch'!E10:E21)</f>
        <v>434218.9202455284</v>
      </c>
      <c r="D25" s="41">
        <f>SUM('4.TL repayment sch'!E22:E33)</f>
        <v>950220.88150237594</v>
      </c>
      <c r="E25" s="41">
        <f>SUM('4.TL repayment sch'!E34:E45)</f>
        <v>1070732.6734309415</v>
      </c>
      <c r="F25" s="41">
        <f>SUM('4.TL repayment sch'!E46:E57)</f>
        <v>1206528.3770021056</v>
      </c>
      <c r="G25" s="41">
        <f>SUM('4.TL repayment sch'!E58:E69)</f>
        <v>1359546.3747704742</v>
      </c>
      <c r="H25" s="41">
        <f>SUM('4.TL repayment sch'!E70:E81)</f>
        <v>1531970.8847165494</v>
      </c>
      <c r="I25" s="41">
        <f>SUM('4.TL repayment sch'!E82:E93)</f>
        <v>1726263.1383320263</v>
      </c>
    </row>
    <row r="26" spans="1:9">
      <c r="A26" s="45"/>
      <c r="B26" s="44" t="s">
        <v>244</v>
      </c>
      <c r="C26" s="41">
        <f>SUM('4.TL repayment sch'!D10:D21)</f>
        <v>982808.28743971034</v>
      </c>
      <c r="D26" s="41">
        <f>SUM('4.TL repayment sch'!D22:D33)</f>
        <v>890295.78386810177</v>
      </c>
      <c r="E26" s="41">
        <f>SUM('4.TL repayment sch'!D34:D45)</f>
        <v>769783.99193953595</v>
      </c>
      <c r="F26" s="41">
        <f>SUM('4.TL repayment sch'!D46:D57)</f>
        <v>633988.28836837213</v>
      </c>
      <c r="G26" s="41">
        <f>SUM('4.TL repayment sch'!D58:D69)</f>
        <v>480970.29060000344</v>
      </c>
      <c r="H26" s="41">
        <f>SUM('4.TL repayment sch'!D70:D81)</f>
        <v>308545.78065392794</v>
      </c>
      <c r="I26" s="41">
        <f>SUM('4.TL repayment sch'!D82:D93)</f>
        <v>114253.52703845121</v>
      </c>
    </row>
    <row r="27" spans="1:9">
      <c r="A27" s="45"/>
      <c r="B27" s="44" t="s">
        <v>245</v>
      </c>
      <c r="C27" s="41">
        <f t="shared" ref="C27:I27" si="1">C11</f>
        <v>3324530.8638476711</v>
      </c>
      <c r="D27" s="41">
        <f t="shared" si="1"/>
        <v>5154446.9185171518</v>
      </c>
      <c r="E27" s="41">
        <f t="shared" si="1"/>
        <v>5859387.5416605715</v>
      </c>
      <c r="F27" s="41">
        <f t="shared" si="1"/>
        <v>6621936.1098220414</v>
      </c>
      <c r="G27" s="41">
        <f t="shared" si="1"/>
        <v>7446091.0659455042</v>
      </c>
      <c r="H27" s="41">
        <f t="shared" si="1"/>
        <v>8329351.1267800499</v>
      </c>
      <c r="I27" s="41">
        <f t="shared" si="1"/>
        <v>9282321.966033183</v>
      </c>
    </row>
    <row r="28" spans="1:9">
      <c r="A28" s="45"/>
      <c r="B28" s="44" t="s">
        <v>246</v>
      </c>
      <c r="C28" s="49">
        <f>C27*12%</f>
        <v>398943.7036617205</v>
      </c>
      <c r="D28" s="49">
        <f t="shared" ref="D28:G28" si="2">D27*12%</f>
        <v>618533.63022205816</v>
      </c>
      <c r="E28" s="49">
        <f t="shared" si="2"/>
        <v>703126.50499926857</v>
      </c>
      <c r="F28" s="49">
        <f t="shared" si="2"/>
        <v>794632.33317864488</v>
      </c>
      <c r="G28" s="49">
        <f t="shared" si="2"/>
        <v>893530.92791346053</v>
      </c>
      <c r="H28" s="49">
        <f t="shared" ref="H28:I28" si="3">H27*12%</f>
        <v>999522.13521360594</v>
      </c>
      <c r="I28" s="49">
        <f t="shared" si="3"/>
        <v>1113878.6359239819</v>
      </c>
    </row>
    <row r="29" spans="1:9">
      <c r="A29" s="40">
        <v>4</v>
      </c>
      <c r="B29" s="40" t="s">
        <v>247</v>
      </c>
      <c r="C29" s="41">
        <f>'6.Cons Profit &amp; Loss'!B50</f>
        <v>164831.5610496265</v>
      </c>
      <c r="D29" s="41">
        <f>'6.Cons Profit &amp; Loss'!C50</f>
        <v>846729.46113335341</v>
      </c>
      <c r="E29" s="41">
        <f>'6.Cons Profit &amp; Loss'!D50</f>
        <v>1396206.8908359557</v>
      </c>
      <c r="F29" s="41">
        <f>'6.Cons Profit &amp; Loss'!E50</f>
        <v>1977227.0851668885</v>
      </c>
      <c r="G29" s="41">
        <f>'6.Cons Profit &amp; Loss'!F50</f>
        <v>2594270.8795756418</v>
      </c>
      <c r="H29" s="41">
        <f>'6.Cons Profit &amp; Loss'!G50</f>
        <v>3288325.0674925279</v>
      </c>
      <c r="I29" s="41">
        <f>'6.Cons Profit &amp; Loss'!H50</f>
        <v>4129234.7995226169</v>
      </c>
    </row>
    <row r="30" spans="1:9">
      <c r="A30" s="40"/>
      <c r="B30" s="40" t="s">
        <v>248</v>
      </c>
      <c r="C30" s="50">
        <f t="shared" ref="C30:I30" si="4">SUM(C15:C29)</f>
        <v>102385167.78264426</v>
      </c>
      <c r="D30" s="50">
        <f t="shared" si="4"/>
        <v>83727265.94976306</v>
      </c>
      <c r="E30" s="50">
        <f t="shared" si="4"/>
        <v>94767485.094122276</v>
      </c>
      <c r="F30" s="50">
        <f t="shared" si="4"/>
        <v>106685886.12501737</v>
      </c>
      <c r="G30" s="50">
        <f t="shared" si="4"/>
        <v>119545403.43580192</v>
      </c>
      <c r="H30" s="50">
        <f t="shared" si="4"/>
        <v>133441641.56909405</v>
      </c>
      <c r="I30" s="50">
        <f t="shared" si="4"/>
        <v>147793745.07037225</v>
      </c>
    </row>
    <row r="31" spans="1:9">
      <c r="A31" s="40"/>
      <c r="B31" s="40" t="s">
        <v>249</v>
      </c>
      <c r="C31" s="50">
        <f t="shared" ref="C31:I31" si="5">C12-C30</f>
        <v>4906260.9158193022</v>
      </c>
      <c r="D31" s="50">
        <f t="shared" si="5"/>
        <v>4834042.0209540874</v>
      </c>
      <c r="E31" s="50">
        <f t="shared" si="5"/>
        <v>5934091.4249483347</v>
      </c>
      <c r="F31" s="50">
        <f t="shared" si="5"/>
        <v>7148582.5273151994</v>
      </c>
      <c r="G31" s="50">
        <f t="shared" si="5"/>
        <v>8483492.6218211651</v>
      </c>
      <c r="H31" s="50">
        <f t="shared" si="5"/>
        <v>9733656.0564660579</v>
      </c>
      <c r="I31" s="50">
        <f t="shared" si="5"/>
        <v>11722522.039774477</v>
      </c>
    </row>
    <row r="32" spans="1:9">
      <c r="A32" s="48"/>
      <c r="B32" s="44" t="s">
        <v>250</v>
      </c>
      <c r="C32" s="44"/>
      <c r="D32" s="51">
        <f t="shared" ref="D32:I32" si="6">C33</f>
        <v>4906260.9158193022</v>
      </c>
      <c r="E32" s="51">
        <f t="shared" si="6"/>
        <v>9740302.9367733896</v>
      </c>
      <c r="F32" s="51">
        <f t="shared" si="6"/>
        <v>15674394.361721724</v>
      </c>
      <c r="G32" s="51">
        <f t="shared" si="6"/>
        <v>22822976.889036924</v>
      </c>
      <c r="H32" s="51">
        <f t="shared" si="6"/>
        <v>31306469.510858089</v>
      </c>
      <c r="I32" s="51">
        <f t="shared" si="6"/>
        <v>41040125.567324147</v>
      </c>
    </row>
    <row r="33" spans="1:10">
      <c r="A33" s="40"/>
      <c r="B33" s="52" t="s">
        <v>251</v>
      </c>
      <c r="C33" s="50">
        <f t="shared" ref="C33:I33" si="7">C31+C32</f>
        <v>4906260.9158193022</v>
      </c>
      <c r="D33" s="50">
        <f t="shared" si="7"/>
        <v>9740302.9367733896</v>
      </c>
      <c r="E33" s="50">
        <f t="shared" si="7"/>
        <v>15674394.361721724</v>
      </c>
      <c r="F33" s="50">
        <f t="shared" si="7"/>
        <v>22822976.889036924</v>
      </c>
      <c r="G33" s="50">
        <f t="shared" si="7"/>
        <v>31306469.510858089</v>
      </c>
      <c r="H33" s="50">
        <f t="shared" si="7"/>
        <v>41040125.567324147</v>
      </c>
      <c r="I33" s="50">
        <f t="shared" si="7"/>
        <v>52762647.607098624</v>
      </c>
    </row>
    <row r="35" spans="1:10" ht="44.25" customHeight="1">
      <c r="A35" s="472" t="s">
        <v>421</v>
      </c>
      <c r="B35" s="472"/>
      <c r="C35" s="472"/>
      <c r="D35" s="472"/>
      <c r="E35" s="472"/>
      <c r="F35" s="472"/>
      <c r="G35" s="472"/>
      <c r="H35" s="472"/>
      <c r="I35" s="472"/>
      <c r="J35" s="472"/>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32"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2022-04-14T02:47:41Z</dcterms:modified>
</cp:coreProperties>
</file>